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296" windowHeight="6792" tabRatio="782" activeTab="0"/>
  </bookViews>
  <sheets>
    <sheet name="Portfolio" sheetId="1" r:id="rId1"/>
    <sheet name="Lease info" sheetId="2" r:id="rId2"/>
    <sheet name="FY metrics " sheetId="3" r:id="rId3"/>
    <sheet name="Qtr metrics " sheetId="4" r:id="rId4"/>
    <sheet name="P&amp;L" sheetId="5" r:id="rId5"/>
  </sheets>
  <definedNames>
    <definedName name="_xlnm.Print_Area" localSheetId="2">'FY metrics '!$A$1:$O$88</definedName>
    <definedName name="_xlnm.Print_Area" localSheetId="1">'Lease info'!$A$1:$G$86</definedName>
    <definedName name="_xlnm.Print_Area" localSheetId="4">'P&amp;L'!$A$1:$BD$74</definedName>
    <definedName name="_xlnm.Print_Area" localSheetId="0">'Portfolio'!$A$1:$F$45</definedName>
    <definedName name="_xlnm.Print_Area" localSheetId="3">'Qtr metrics '!$A$1:$BD$98</definedName>
    <definedName name="_xlnm.Print_Titles" localSheetId="2">'FY metrics '!$1:$2</definedName>
    <definedName name="_xlnm.Print_Titles" localSheetId="3">'Qtr metrics '!$1:$6</definedName>
  </definedNames>
  <calcPr fullCalcOnLoad="1"/>
</workbook>
</file>

<file path=xl/comments5.xml><?xml version="1.0" encoding="utf-8"?>
<comments xmlns="http://schemas.openxmlformats.org/spreadsheetml/2006/main">
  <authors>
    <author>Ken Wong</author>
  </authors>
  <commentList>
    <comment ref="AS15" authorId="0">
      <text>
        <r>
          <rPr>
            <b/>
            <sz val="9"/>
            <rFont val="Tahoma"/>
            <family val="2"/>
          </rPr>
          <t>Ken Wong:</t>
        </r>
        <r>
          <rPr>
            <sz val="9"/>
            <rFont val="Tahoma"/>
            <family val="2"/>
          </rPr>
          <t xml:space="preserve">
Property maintenance expenses + Salaries</t>
        </r>
      </text>
    </comment>
    <comment ref="AS27" authorId="0">
      <text>
        <r>
          <rPr>
            <b/>
            <sz val="9"/>
            <rFont val="Tahoma"/>
            <family val="2"/>
          </rPr>
          <t>Ken Wong:</t>
        </r>
        <r>
          <rPr>
            <sz val="9"/>
            <rFont val="Tahoma"/>
            <family val="2"/>
          </rPr>
          <t xml:space="preserve">
Management fees for 2016 per account is $13,597.
Per Announcement is $13,585.
We have disclosed $13,585 and adjust the difference to trust expense</t>
        </r>
      </text>
    </comment>
    <comment ref="AS28" authorId="0">
      <text>
        <r>
          <rPr>
            <b/>
            <sz val="9"/>
            <rFont val="Tahoma"/>
            <family val="2"/>
          </rPr>
          <t>Ken Wong:</t>
        </r>
        <r>
          <rPr>
            <sz val="9"/>
            <rFont val="Tahoma"/>
            <family val="2"/>
          </rPr>
          <t xml:space="preserve">
Trust expense for 2016 per account is $1,703.
Per Announcement is $1,716</t>
        </r>
      </text>
    </comment>
  </commentList>
</comments>
</file>

<file path=xl/sharedStrings.xml><?xml version="1.0" encoding="utf-8"?>
<sst xmlns="http://schemas.openxmlformats.org/spreadsheetml/2006/main" count="906" uniqueCount="331">
  <si>
    <t>% total gross rents</t>
  </si>
  <si>
    <t>Gross revenue ($ '000)</t>
  </si>
  <si>
    <t>Net property income ($ '000)</t>
  </si>
  <si>
    <t>Amount</t>
  </si>
  <si>
    <t>2Q08</t>
  </si>
  <si>
    <t xml:space="preserve">No. </t>
  </si>
  <si>
    <t>Expiry</t>
  </si>
  <si>
    <t xml:space="preserve">Cost of debt </t>
  </si>
  <si>
    <t xml:space="preserve">Portfolio </t>
  </si>
  <si>
    <t>$'000</t>
  </si>
  <si>
    <t>Income support</t>
  </si>
  <si>
    <t>Distributions to Unitholders (S$'000)</t>
  </si>
  <si>
    <t>Quarter</t>
  </si>
  <si>
    <t>Temporary differences and other adjustments</t>
  </si>
  <si>
    <t>Note:</t>
  </si>
  <si>
    <r>
      <t>Quarter</t>
    </r>
    <r>
      <rPr>
        <b/>
        <vertAlign val="superscript"/>
        <sz val="10"/>
        <rFont val="Times New Roman"/>
        <family val="1"/>
      </rPr>
      <t>1</t>
    </r>
  </si>
  <si>
    <t>INCOME AVAILABLE FOR DISTRIBUTION</t>
  </si>
  <si>
    <t>TOTAL RETURN AFTER TAX</t>
  </si>
  <si>
    <t>Property expenses ($ '000)</t>
  </si>
  <si>
    <t>Any discrepancies between individual amounts and total are due to rounding</t>
  </si>
  <si>
    <t>4Q08</t>
  </si>
  <si>
    <t>3Q08</t>
  </si>
  <si>
    <t>FY08</t>
  </si>
  <si>
    <t>1Q09</t>
  </si>
  <si>
    <t>2Q09</t>
  </si>
  <si>
    <t>3Q09</t>
  </si>
  <si>
    <t>FRASERS COMMERCIAL TRUST</t>
  </si>
  <si>
    <t>This spreadsheet is available on FCOT's website: www.fraserscommercialtrust.com</t>
  </si>
  <si>
    <t>Alexandra Technopark (ATP)</t>
  </si>
  <si>
    <t>FCOT portfolio</t>
  </si>
  <si>
    <t>Valuation (S$ million)</t>
  </si>
  <si>
    <t>AWPF</t>
  </si>
  <si>
    <t>Gain/(loss) from changes in fair value of other investment (AWPF)</t>
  </si>
  <si>
    <t>Management fees payable in units</t>
  </si>
  <si>
    <t>Revaluation (gain)/loss on investment properties</t>
  </si>
  <si>
    <t>Net (gain)/loss in fair value of derivative financial instruments and other investment</t>
  </si>
  <si>
    <t>2Q06</t>
  </si>
  <si>
    <t>3Q06</t>
  </si>
  <si>
    <r>
      <t>2Q06</t>
    </r>
    <r>
      <rPr>
        <b/>
        <vertAlign val="superscript"/>
        <sz val="10"/>
        <rFont val="Times New Roman"/>
        <family val="1"/>
      </rPr>
      <t>1</t>
    </r>
  </si>
  <si>
    <r>
      <t>3Q06</t>
    </r>
  </si>
  <si>
    <t>Quarter 2Q06 refers to the period 30 March 2006 to 30 June 2006</t>
  </si>
  <si>
    <t>Acquisition date</t>
  </si>
  <si>
    <t>Singapore</t>
  </si>
  <si>
    <t>Australia</t>
  </si>
  <si>
    <t>Japan</t>
  </si>
  <si>
    <t>IT Products &amp; Services</t>
  </si>
  <si>
    <t>Banking, Insurance &amp; Financial Services</t>
  </si>
  <si>
    <t>Government and Government Linked</t>
  </si>
  <si>
    <t>Mining/Resources</t>
  </si>
  <si>
    <t>Multimedia &amp; Telecommunications</t>
  </si>
  <si>
    <t>Legal</t>
  </si>
  <si>
    <t>Real Estate / Property Services</t>
  </si>
  <si>
    <t>Electronics</t>
  </si>
  <si>
    <t>Food and Beverage</t>
  </si>
  <si>
    <t>Consultancy / Business Services</t>
  </si>
  <si>
    <t>Others</t>
  </si>
  <si>
    <t>Retail</t>
  </si>
  <si>
    <t>Shipping / Freight</t>
  </si>
  <si>
    <t>Medical / Pharmaceuticals</t>
  </si>
  <si>
    <t>Amenities</t>
  </si>
  <si>
    <t>NLA (sq ft)</t>
  </si>
  <si>
    <t>REVENUE</t>
  </si>
  <si>
    <t>EXPENSES</t>
  </si>
  <si>
    <t>Property tax</t>
  </si>
  <si>
    <t>Other property expenses</t>
  </si>
  <si>
    <t>NET PROPERTY INCOME</t>
  </si>
  <si>
    <t>Trustees' fees</t>
  </si>
  <si>
    <t>Interest income</t>
  </si>
  <si>
    <t>4Q06</t>
  </si>
  <si>
    <t>1Q07</t>
  </si>
  <si>
    <t>2Q07</t>
  </si>
  <si>
    <t>3Q07</t>
  </si>
  <si>
    <t>4Q07</t>
  </si>
  <si>
    <t>1Q08</t>
  </si>
  <si>
    <t>FY07</t>
  </si>
  <si>
    <t>FY06</t>
  </si>
  <si>
    <t>Gearing</t>
  </si>
  <si>
    <t>Interest cover</t>
  </si>
  <si>
    <t>Occupancy rate</t>
  </si>
  <si>
    <t>Valuation ($ m)</t>
  </si>
  <si>
    <t>Yearly historical data</t>
  </si>
  <si>
    <t>Quarterly historical data</t>
  </si>
  <si>
    <t>-</t>
  </si>
  <si>
    <t>Portfolio trade mix</t>
  </si>
  <si>
    <t>Trade Classifications</t>
  </si>
  <si>
    <t>% NLA</t>
  </si>
  <si>
    <t>% Rents</t>
  </si>
  <si>
    <t>Top 10 tenants</t>
  </si>
  <si>
    <t>Tenant</t>
  </si>
  <si>
    <t>Notes:</t>
  </si>
  <si>
    <t xml:space="preserve">Number of leases expiring </t>
  </si>
  <si>
    <t>NLA (sq ft) expiring</t>
  </si>
  <si>
    <t>Expiries as % total NLA</t>
  </si>
  <si>
    <t>Expiries as % total Gross Rental Income</t>
  </si>
  <si>
    <t>FY09
(Jan-Sep 09)</t>
  </si>
  <si>
    <t>AUD/SGD</t>
  </si>
  <si>
    <t>JPY/SGD</t>
  </si>
  <si>
    <t>FCOT foreign exchange rate</t>
  </si>
  <si>
    <t>Taxation</t>
  </si>
  <si>
    <t>Distributions to Unitholders (%)</t>
  </si>
  <si>
    <t>Distributions to CPPU Holders (S$'000)</t>
  </si>
  <si>
    <t>Distributions to CPPU Holders (%)</t>
  </si>
  <si>
    <t>FY10</t>
  </si>
  <si>
    <t>CSC</t>
  </si>
  <si>
    <t>55MS</t>
  </si>
  <si>
    <t>KP</t>
  </si>
  <si>
    <t>ATP</t>
  </si>
  <si>
    <t>CP</t>
  </si>
  <si>
    <t>CTL</t>
  </si>
  <si>
    <t>Galleria</t>
  </si>
  <si>
    <t>Azabu</t>
  </si>
  <si>
    <t>Ebara</t>
  </si>
  <si>
    <t>Distribution from AWPF</t>
  </si>
  <si>
    <t>Property maintenance expenses</t>
  </si>
  <si>
    <t>Property management fees</t>
  </si>
  <si>
    <t>Utilities</t>
  </si>
  <si>
    <t>Other trust expenses</t>
  </si>
  <si>
    <t>Other income/(expenses)</t>
  </si>
  <si>
    <t>Finance costs</t>
  </si>
  <si>
    <t>Foreign exchange gain/(loss)</t>
  </si>
  <si>
    <t>Realised gain/(loss) on derivative financial instruments</t>
  </si>
  <si>
    <t>FY11</t>
  </si>
  <si>
    <t>FY12</t>
  </si>
  <si>
    <t>FY13</t>
  </si>
  <si>
    <t>FY14</t>
  </si>
  <si>
    <t>1Q10</t>
  </si>
  <si>
    <t>2Q10</t>
  </si>
  <si>
    <t>3Q10</t>
  </si>
  <si>
    <t>4Q10</t>
  </si>
  <si>
    <t>1Q11</t>
  </si>
  <si>
    <t>(Allowance)/reversal for impairment of receivables</t>
  </si>
  <si>
    <t>2Q11</t>
  </si>
  <si>
    <t>Other income</t>
  </si>
  <si>
    <t>Gain on disposal of subsidiaries</t>
  </si>
  <si>
    <r>
      <t>DPU (¢)</t>
    </r>
    <r>
      <rPr>
        <vertAlign val="superscript"/>
        <sz val="9"/>
        <rFont val="Times New Roman"/>
        <family val="1"/>
      </rPr>
      <t xml:space="preserve"> 1, 4</t>
    </r>
  </si>
  <si>
    <t>The number of units used to calculate the DPU has been adjusted for the effect of the consolidation of every five existing units (the "Unit Consolidation") held by the Unitholders into one consolidated unit pursuant to the completion of the Unit Consolidation on 11 February 2011.</t>
  </si>
  <si>
    <r>
      <t>DPU (¢)</t>
    </r>
    <r>
      <rPr>
        <vertAlign val="superscript"/>
        <sz val="9"/>
        <rFont val="Times New Roman"/>
        <family val="1"/>
      </rPr>
      <t xml:space="preserve"> 1,4</t>
    </r>
  </si>
  <si>
    <r>
      <t>NAV ($) per unit</t>
    </r>
    <r>
      <rPr>
        <vertAlign val="superscript"/>
        <sz val="9"/>
        <rFont val="Times New Roman"/>
        <family val="1"/>
      </rPr>
      <t xml:space="preserve"> 1,2,4</t>
    </r>
  </si>
  <si>
    <t>Cosmo</t>
  </si>
  <si>
    <t>3Q11</t>
  </si>
  <si>
    <t>Debt info</t>
  </si>
  <si>
    <t>Management fees</t>
  </si>
  <si>
    <t>4Q11</t>
  </si>
  <si>
    <t>FY15</t>
  </si>
  <si>
    <t>1Q12</t>
  </si>
  <si>
    <t>2Q12</t>
  </si>
  <si>
    <t>3Q12</t>
  </si>
  <si>
    <t>4Q12</t>
  </si>
  <si>
    <t>Gain on disposal of investment property</t>
  </si>
  <si>
    <t>NAV per Unit is computed based on the net asset value at end of period less distribution declared after end of period.</t>
  </si>
  <si>
    <t>The number of units used to calculate the DPU and NAV has been adjusted for the effect of the consolidation of every five existing units (the "Unit Consolidation") held by the Unitholders into one consolidated unit pursuant to the  completion of the Unit Consolidation on 11 February 2011.</t>
  </si>
  <si>
    <t>The DPU and NAV per unit are computed based on the issued and issuable units at end of period  (excluding issuable units persuant to the conversion of Series A CPPU).</t>
  </si>
  <si>
    <t>The DPU is computed based on the issued and issuable units at end of period  (excluding issuable units persuant to the conversion of Series A CPPU).</t>
  </si>
  <si>
    <t>Caroline Chisholm Centre (CTL)</t>
  </si>
  <si>
    <t>1Q13</t>
  </si>
  <si>
    <r>
      <t>86%</t>
    </r>
    <r>
      <rPr>
        <vertAlign val="superscript"/>
        <sz val="10"/>
        <rFont val="Times New Roman"/>
        <family val="1"/>
      </rPr>
      <t>3</t>
    </r>
  </si>
  <si>
    <r>
      <t>97%</t>
    </r>
    <r>
      <rPr>
        <vertAlign val="superscript"/>
        <sz val="10"/>
        <rFont val="Times New Roman"/>
        <family val="1"/>
      </rPr>
      <t>4</t>
    </r>
  </si>
  <si>
    <t>Committed occupancy as at 30 September 2012</t>
  </si>
  <si>
    <t>2Q13</t>
  </si>
  <si>
    <t>GroupM Singapore Pte Ltd</t>
  </si>
  <si>
    <t>3Q13</t>
  </si>
  <si>
    <r>
      <t>100%</t>
    </r>
    <r>
      <rPr>
        <vertAlign val="superscript"/>
        <sz val="10"/>
        <rFont val="Times New Roman"/>
        <family val="1"/>
      </rPr>
      <t>6</t>
    </r>
  </si>
  <si>
    <t>4Q13</t>
  </si>
  <si>
    <t>1Q14</t>
  </si>
  <si>
    <t>2Q14</t>
  </si>
  <si>
    <t>3Q14</t>
  </si>
  <si>
    <t>A$135m Transferable Term Loan Facility</t>
  </si>
  <si>
    <t>Microsoft Operations Pte Ltd</t>
  </si>
  <si>
    <t>Committed occupancy as at 30 September 2014</t>
  </si>
  <si>
    <t>Based on the underlying leases at Alexandra Technopark. The master lease at Alexandra Technopark expired in August 2014</t>
  </si>
  <si>
    <r>
      <t>86%</t>
    </r>
    <r>
      <rPr>
        <vertAlign val="superscript"/>
        <sz val="10"/>
        <rFont val="Times New Roman"/>
        <family val="1"/>
      </rPr>
      <t>5</t>
    </r>
  </si>
  <si>
    <r>
      <t>97%</t>
    </r>
    <r>
      <rPr>
        <vertAlign val="superscript"/>
        <sz val="10"/>
        <rFont val="Times New Roman"/>
        <family val="1"/>
      </rPr>
      <t>7</t>
    </r>
  </si>
  <si>
    <t>4Q14</t>
  </si>
  <si>
    <t>1Q15</t>
  </si>
  <si>
    <t>2Q15</t>
  </si>
  <si>
    <t>3Q15</t>
  </si>
  <si>
    <t>357 Collins Street (357CS)</t>
  </si>
  <si>
    <t>A$75m Transferable Term Loan Facility</t>
  </si>
  <si>
    <t>FY19</t>
  </si>
  <si>
    <t>FCOT Portfolio</t>
  </si>
  <si>
    <t>357CS</t>
  </si>
  <si>
    <r>
      <t>96%</t>
    </r>
    <r>
      <rPr>
        <vertAlign val="superscript"/>
        <sz val="10"/>
        <rFont val="Times New Roman"/>
        <family val="1"/>
      </rPr>
      <t>8</t>
    </r>
  </si>
  <si>
    <t>Committed occupancy as at 30 September 2015</t>
  </si>
  <si>
    <t>4Q15</t>
  </si>
  <si>
    <t>1Q16</t>
  </si>
  <si>
    <t>2Q16</t>
  </si>
  <si>
    <t>3Q16</t>
  </si>
  <si>
    <t>FY20</t>
  </si>
  <si>
    <t>FY16</t>
  </si>
  <si>
    <r>
      <t>89%</t>
    </r>
    <r>
      <rPr>
        <vertAlign val="superscript"/>
        <sz val="10"/>
        <rFont val="Times New Roman"/>
        <family val="1"/>
      </rPr>
      <t>9</t>
    </r>
  </si>
  <si>
    <t>4Q16</t>
  </si>
  <si>
    <r>
      <t xml:space="preserve">Lease expiry profile </t>
    </r>
    <r>
      <rPr>
        <b/>
        <vertAlign val="superscript"/>
        <sz val="10"/>
        <rFont val="Times New Roman"/>
        <family val="1"/>
      </rPr>
      <t>2</t>
    </r>
  </si>
  <si>
    <t>FY17</t>
  </si>
  <si>
    <t>1Q17</t>
  </si>
  <si>
    <t>NA</t>
  </si>
  <si>
    <t>S$100.0m</t>
  </si>
  <si>
    <t>Gross revenue</t>
  </si>
  <si>
    <t>S$50.0m</t>
  </si>
  <si>
    <t>Series 1 S$100m 2.835% 5-year Fixed rate notes</t>
  </si>
  <si>
    <t>Series 2 S$100m 2.625% 3-year Fixed rate notes</t>
  </si>
  <si>
    <t>Series 3 S$50m 2.783% 4-year Fixed rate notes</t>
  </si>
  <si>
    <t>2Q17</t>
  </si>
  <si>
    <r>
      <t>97%</t>
    </r>
    <r>
      <rPr>
        <vertAlign val="superscript"/>
        <sz val="10"/>
        <rFont val="Times New Roman"/>
        <family val="1"/>
      </rPr>
      <t>3</t>
    </r>
  </si>
  <si>
    <r>
      <t>92%</t>
    </r>
    <r>
      <rPr>
        <vertAlign val="superscript"/>
        <sz val="10"/>
        <rFont val="Times New Roman"/>
        <family val="1"/>
      </rPr>
      <t>3</t>
    </r>
  </si>
  <si>
    <r>
      <t>100%</t>
    </r>
    <r>
      <rPr>
        <vertAlign val="superscript"/>
        <sz val="10"/>
        <rFont val="Times New Roman"/>
        <family val="1"/>
      </rPr>
      <t>3</t>
    </r>
  </si>
  <si>
    <r>
      <t>93%</t>
    </r>
    <r>
      <rPr>
        <vertAlign val="superscript"/>
        <sz val="10"/>
        <rFont val="Times New Roman"/>
        <family val="1"/>
      </rPr>
      <t>3</t>
    </r>
  </si>
  <si>
    <r>
      <t>94%</t>
    </r>
    <r>
      <rPr>
        <vertAlign val="superscript"/>
        <sz val="10"/>
        <rFont val="Times New Roman"/>
        <family val="1"/>
      </rPr>
      <t>3</t>
    </r>
  </si>
  <si>
    <r>
      <t>98%</t>
    </r>
    <r>
      <rPr>
        <vertAlign val="superscript"/>
        <sz val="10"/>
        <rFont val="Times New Roman"/>
        <family val="1"/>
      </rPr>
      <t>3</t>
    </r>
  </si>
  <si>
    <r>
      <t>95%</t>
    </r>
    <r>
      <rPr>
        <vertAlign val="superscript"/>
        <sz val="10"/>
        <rFont val="Times New Roman"/>
        <family val="1"/>
      </rPr>
      <t>3</t>
    </r>
  </si>
  <si>
    <t>Committed occupancy as at quarter end.</t>
  </si>
  <si>
    <r>
      <t>95%</t>
    </r>
    <r>
      <rPr>
        <vertAlign val="superscript"/>
        <sz val="10"/>
        <rFont val="Times New Roman"/>
        <family val="1"/>
      </rPr>
      <t>4</t>
    </r>
  </si>
  <si>
    <r>
      <t>96%</t>
    </r>
    <r>
      <rPr>
        <vertAlign val="superscript"/>
        <sz val="10"/>
        <rFont val="Times New Roman"/>
        <family val="1"/>
      </rPr>
      <t>3</t>
    </r>
  </si>
  <si>
    <r>
      <t>80%</t>
    </r>
    <r>
      <rPr>
        <vertAlign val="superscript"/>
        <sz val="10"/>
        <rFont val="Times New Roman"/>
        <family val="1"/>
      </rPr>
      <t>3</t>
    </r>
  </si>
  <si>
    <r>
      <t>89%</t>
    </r>
    <r>
      <rPr>
        <vertAlign val="superscript"/>
        <sz val="10"/>
        <rFont val="Times New Roman"/>
        <family val="1"/>
      </rPr>
      <t>3,5</t>
    </r>
  </si>
  <si>
    <r>
      <t>88%</t>
    </r>
    <r>
      <rPr>
        <vertAlign val="superscript"/>
        <sz val="10"/>
        <rFont val="Times New Roman"/>
        <family val="1"/>
      </rPr>
      <t>3,5</t>
    </r>
  </si>
  <si>
    <r>
      <t>83%</t>
    </r>
    <r>
      <rPr>
        <vertAlign val="superscript"/>
        <sz val="10"/>
        <rFont val="Times New Roman"/>
        <family val="1"/>
      </rPr>
      <t>5</t>
    </r>
  </si>
  <si>
    <r>
      <t>91%</t>
    </r>
    <r>
      <rPr>
        <vertAlign val="superscript"/>
        <sz val="10"/>
        <rFont val="Times New Roman"/>
        <family val="1"/>
      </rPr>
      <t>3</t>
    </r>
  </si>
  <si>
    <r>
      <t>85%</t>
    </r>
    <r>
      <rPr>
        <vertAlign val="superscript"/>
        <sz val="10"/>
        <rFont val="Times New Roman"/>
        <family val="1"/>
      </rPr>
      <t>6</t>
    </r>
  </si>
  <si>
    <t>Series 4 S$80m Floating rate notes</t>
  </si>
  <si>
    <t>S$80.0m</t>
  </si>
  <si>
    <t>3Q17</t>
  </si>
  <si>
    <t>Suntory Beverage &amp; Food Asia Pte Ltd</t>
  </si>
  <si>
    <r>
      <t>81%</t>
    </r>
    <r>
      <rPr>
        <vertAlign val="superscript"/>
        <sz val="10"/>
        <rFont val="Times New Roman"/>
        <family val="1"/>
      </rPr>
      <t>5</t>
    </r>
  </si>
  <si>
    <r>
      <t>82%</t>
    </r>
    <r>
      <rPr>
        <vertAlign val="superscript"/>
        <sz val="10"/>
        <rFont val="Times New Roman"/>
        <family val="1"/>
      </rPr>
      <t>7</t>
    </r>
  </si>
  <si>
    <t>Total return before tax</t>
  </si>
  <si>
    <t>FY21</t>
  </si>
  <si>
    <r>
      <t>80%</t>
    </r>
    <r>
      <rPr>
        <vertAlign val="superscript"/>
        <sz val="10"/>
        <rFont val="Times New Roman"/>
        <family val="1"/>
      </rPr>
      <t>9</t>
    </r>
  </si>
  <si>
    <r>
      <t>90%</t>
    </r>
    <r>
      <rPr>
        <vertAlign val="superscript"/>
        <sz val="10"/>
        <rFont val="Times New Roman"/>
        <family val="1"/>
      </rPr>
      <t>10</t>
    </r>
  </si>
  <si>
    <r>
      <t>76%</t>
    </r>
    <r>
      <rPr>
        <vertAlign val="superscript"/>
        <sz val="10"/>
        <rFont val="Times New Roman"/>
        <family val="1"/>
      </rPr>
      <t>11</t>
    </r>
  </si>
  <si>
    <r>
      <t>89%</t>
    </r>
    <r>
      <rPr>
        <vertAlign val="superscript"/>
        <sz val="10"/>
        <rFont val="Times New Roman"/>
        <family val="1"/>
      </rPr>
      <t>12</t>
    </r>
  </si>
  <si>
    <t xml:space="preserve">Committed occupancy as at 30 September. Occupancy of retail units affected by planned vacancies arising from Hotel and Commercial Project. Refer to the Circular to Unitholders dated 3 June 2015 for details. </t>
  </si>
  <si>
    <t xml:space="preserve">Adjusted to reflect 17.1% which will not be renewed by Hewlett-Packard Enterprise Singapore Pte Ltd upon lease expirations on 30 September 2017 and 30 November 2017 (refer to announcement dated 22 September 2017 for further details). Actual occupancy as at 30 September 2017 was 90.8%. 
</t>
  </si>
  <si>
    <t xml:space="preserve">Committed up to January 2018, taking into account space committed by an entity of Rio Tinto Limited on a new 12-year lease commencing in FY18, among others. Actual occupancy on 30 September 2017 was 69.6%.  </t>
  </si>
  <si>
    <t>Committed occupancy as at 30 September 2017.</t>
  </si>
  <si>
    <r>
      <t>78%</t>
    </r>
    <r>
      <rPr>
        <vertAlign val="superscript"/>
        <sz val="10"/>
        <rFont val="Times New Roman"/>
        <family val="1"/>
      </rPr>
      <t>10</t>
    </r>
  </si>
  <si>
    <r>
      <t>97%</t>
    </r>
    <r>
      <rPr>
        <vertAlign val="superscript"/>
        <sz val="10"/>
        <rFont val="Times New Roman"/>
        <family val="1"/>
      </rPr>
      <t>10</t>
    </r>
  </si>
  <si>
    <r>
      <t>86%</t>
    </r>
    <r>
      <rPr>
        <vertAlign val="superscript"/>
        <sz val="10"/>
        <rFont val="Times New Roman"/>
        <family val="1"/>
      </rPr>
      <t>10</t>
    </r>
  </si>
  <si>
    <t>4Q17</t>
  </si>
  <si>
    <r>
      <t>93.2%</t>
    </r>
    <r>
      <rPr>
        <vertAlign val="superscript"/>
        <sz val="10"/>
        <rFont val="Times New Roman"/>
        <family val="1"/>
      </rPr>
      <t>13</t>
    </r>
  </si>
  <si>
    <r>
      <t>79.9%</t>
    </r>
    <r>
      <rPr>
        <vertAlign val="superscript"/>
        <sz val="10"/>
        <rFont val="Times New Roman"/>
        <family val="1"/>
      </rPr>
      <t>14</t>
    </r>
  </si>
  <si>
    <r>
      <t>83.3%</t>
    </r>
    <r>
      <rPr>
        <vertAlign val="superscript"/>
        <sz val="10"/>
        <rFont val="Times New Roman"/>
        <family val="1"/>
      </rPr>
      <t>16</t>
    </r>
  </si>
  <si>
    <r>
      <t>86.6%</t>
    </r>
    <r>
      <rPr>
        <vertAlign val="superscript"/>
        <sz val="10"/>
        <rFont val="Times New Roman"/>
        <family val="1"/>
      </rPr>
      <t>17</t>
    </r>
  </si>
  <si>
    <r>
      <t>71.6%</t>
    </r>
    <r>
      <rPr>
        <vertAlign val="superscript"/>
        <sz val="10"/>
        <rFont val="Times New Roman"/>
        <family val="1"/>
      </rPr>
      <t>15</t>
    </r>
  </si>
  <si>
    <t>Mainly affected by lease expiration for Hewlett-Packard Enterprise Singapore Pte Ltd and phased reduction in lease area by Hewlett-Packard Singapore Pte Ltd at Alexandra Technopark (refer to the announcements dated 22 September 2017 and 3 November 2017 for further details).</t>
  </si>
  <si>
    <t>Adjusted for, among other things, space committed by an entity of Rio Tinto Limited on a new 12-year lease commencing in FY18 at Central Park and excluding 18 Cross Street retail podium (NLA c.64,000 sq ft) which is currently closed for asset enhancement.</t>
  </si>
  <si>
    <t>1Q18</t>
  </si>
  <si>
    <r>
      <t>China Square Central (CSC)</t>
    </r>
    <r>
      <rPr>
        <vertAlign val="superscript"/>
        <sz val="10"/>
        <rFont val="Times New Roman"/>
        <family val="1"/>
      </rPr>
      <t>1</t>
    </r>
  </si>
  <si>
    <t>Excluding 18 Cross Street retail podium (NLA c. 64,000 sq ft) which is currently closed for asset enhancement</t>
  </si>
  <si>
    <t>S$60.0m</t>
  </si>
  <si>
    <t>Engineering</t>
  </si>
  <si>
    <t>Automobile</t>
  </si>
  <si>
    <t>Commonwealth of Australia (Caroline Chisholm Centre)</t>
  </si>
  <si>
    <t>Fluor Limited</t>
  </si>
  <si>
    <t>FBP</t>
  </si>
  <si>
    <t>2Q18</t>
  </si>
  <si>
    <r>
      <t>92.8%</t>
    </r>
    <r>
      <rPr>
        <vertAlign val="superscript"/>
        <sz val="10"/>
        <rFont val="Times New Roman"/>
        <family val="1"/>
      </rPr>
      <t>13</t>
    </r>
  </si>
  <si>
    <r>
      <t>70.4%</t>
    </r>
    <r>
      <rPr>
        <vertAlign val="superscript"/>
        <sz val="10"/>
        <rFont val="Times New Roman"/>
        <family val="1"/>
      </rPr>
      <t>14</t>
    </r>
  </si>
  <si>
    <r>
      <t>68.3%</t>
    </r>
    <r>
      <rPr>
        <vertAlign val="superscript"/>
        <sz val="10"/>
        <rFont val="Times New Roman"/>
        <family val="1"/>
      </rPr>
      <t>15</t>
    </r>
  </si>
  <si>
    <t>Committed occupancy as at end of quarter. Excluding 18 Cross Street retail podium  (NLA c. 64,000 sq ft) which is currently closed for asset enhancement.</t>
  </si>
  <si>
    <t>Committed occupancy as at end of quarter.</t>
  </si>
  <si>
    <r>
      <t>87.9%</t>
    </r>
    <r>
      <rPr>
        <vertAlign val="superscript"/>
        <sz val="10"/>
        <rFont val="Times New Roman"/>
        <family val="1"/>
      </rPr>
      <t>14</t>
    </r>
  </si>
  <si>
    <r>
      <t>76.1%</t>
    </r>
    <r>
      <rPr>
        <vertAlign val="superscript"/>
        <sz val="10"/>
        <rFont val="Times New Roman"/>
        <family val="1"/>
      </rPr>
      <t>16</t>
    </r>
  </si>
  <si>
    <r>
      <t>83.5%</t>
    </r>
    <r>
      <rPr>
        <vertAlign val="superscript"/>
        <sz val="10"/>
        <rFont val="Times New Roman"/>
        <family val="1"/>
      </rPr>
      <t>17</t>
    </r>
  </si>
  <si>
    <t>Share of results of joint venture</t>
  </si>
  <si>
    <t>Series 5 S$60m 3.185% 5-year Fixed rate notes</t>
  </si>
  <si>
    <t>GBP/SGD</t>
  </si>
  <si>
    <t>3Q18</t>
  </si>
  <si>
    <r>
      <t>93.9%</t>
    </r>
    <r>
      <rPr>
        <vertAlign val="superscript"/>
        <sz val="10"/>
        <rFont val="Times New Roman"/>
        <family val="1"/>
      </rPr>
      <t>13</t>
    </r>
  </si>
  <si>
    <r>
      <t>64.8%</t>
    </r>
    <r>
      <rPr>
        <vertAlign val="superscript"/>
        <sz val="10"/>
        <rFont val="Times New Roman"/>
        <family val="1"/>
      </rPr>
      <t>14</t>
    </r>
  </si>
  <si>
    <r>
      <t>69.8%</t>
    </r>
    <r>
      <rPr>
        <vertAlign val="superscript"/>
        <sz val="10"/>
        <rFont val="Times New Roman"/>
        <family val="1"/>
      </rPr>
      <t>15</t>
    </r>
  </si>
  <si>
    <t xml:space="preserve">Adjusted for, among other things, space committed by an entity of Rio Tinto Limited on a new 12-year lease commencing in FY18 and space that Rio Tinto Limited will be returning by end-FY18 as part of its partial relocation to new premises under the new lease. </t>
  </si>
  <si>
    <r>
      <t>72.2%</t>
    </r>
    <r>
      <rPr>
        <vertAlign val="superscript"/>
        <sz val="10"/>
        <rFont val="Times New Roman"/>
        <family val="1"/>
      </rPr>
      <t>16</t>
    </r>
  </si>
  <si>
    <r>
      <t>81.9%</t>
    </r>
    <r>
      <rPr>
        <vertAlign val="superscript"/>
        <sz val="10"/>
        <rFont val="Times New Roman"/>
        <family val="1"/>
      </rPr>
      <t>17</t>
    </r>
  </si>
  <si>
    <t>Amortisation of borrowing costs/ Unamortised borrowing costs written-off</t>
  </si>
  <si>
    <t>Net change in fair value of investment properties</t>
  </si>
  <si>
    <t>Net change in fair value of derivative financial instruments</t>
  </si>
  <si>
    <t>NET INCOME BEFORE FOREIGN EXCHANGE DIFFERENCES, FAIR VALUE CHANGES AND TAXATION</t>
  </si>
  <si>
    <t>As at 30 September 2018</t>
  </si>
  <si>
    <t>4Q18</t>
  </si>
  <si>
    <r>
      <t>Central Park (CP)</t>
    </r>
    <r>
      <rPr>
        <vertAlign val="superscript"/>
        <sz val="10"/>
        <rFont val="Times New Roman"/>
        <family val="1"/>
      </rPr>
      <t>2</t>
    </r>
  </si>
  <si>
    <t xml:space="preserve">Valuation represents FCOT's 50% indirect interest each in the asset. FBP is held as a joint venture and is equity-accounted in the financial statements. Completed acquisition on 29 January 2018. </t>
  </si>
  <si>
    <t>NLA for both CP and FBP are 100.0% basis each.</t>
  </si>
  <si>
    <r>
      <t>Farnborough Business Park (FPB)</t>
    </r>
    <r>
      <rPr>
        <vertAlign val="superscript"/>
        <sz val="10"/>
        <rFont val="Times New Roman"/>
        <family val="1"/>
      </rPr>
      <t>2</t>
    </r>
  </si>
  <si>
    <r>
      <t xml:space="preserve">Average cost </t>
    </r>
    <r>
      <rPr>
        <vertAlign val="superscript"/>
        <sz val="10"/>
        <rFont val="Times New Roman"/>
        <family val="1"/>
      </rPr>
      <t>3</t>
    </r>
  </si>
  <si>
    <r>
      <t>Leverage info</t>
    </r>
    <r>
      <rPr>
        <b/>
        <vertAlign val="superscript"/>
        <sz val="10"/>
        <rFont val="Times New Roman"/>
        <family val="1"/>
      </rPr>
      <t>3</t>
    </r>
  </si>
  <si>
    <t>Commonwealth Bank of Australia</t>
  </si>
  <si>
    <t>FY22</t>
  </si>
  <si>
    <t>FY23+</t>
  </si>
  <si>
    <t>FY18</t>
  </si>
  <si>
    <r>
      <t>94.4%</t>
    </r>
    <r>
      <rPr>
        <vertAlign val="superscript"/>
        <sz val="10"/>
        <rFont val="Times New Roman"/>
        <family val="1"/>
      </rPr>
      <t>13</t>
    </r>
  </si>
  <si>
    <r>
      <t>70.2%</t>
    </r>
    <r>
      <rPr>
        <vertAlign val="superscript"/>
        <sz val="10"/>
        <rFont val="Times New Roman"/>
        <family val="1"/>
      </rPr>
      <t>14</t>
    </r>
  </si>
  <si>
    <r>
      <t>70%</t>
    </r>
    <r>
      <rPr>
        <vertAlign val="superscript"/>
        <sz val="10"/>
        <rFont val="Times New Roman"/>
        <family val="1"/>
      </rPr>
      <t>12</t>
    </r>
  </si>
  <si>
    <r>
      <t>70.2%</t>
    </r>
    <r>
      <rPr>
        <vertAlign val="superscript"/>
        <sz val="10"/>
        <rFont val="Times New Roman"/>
        <family val="1"/>
      </rPr>
      <t>11</t>
    </r>
  </si>
  <si>
    <r>
      <t>94.4%</t>
    </r>
    <r>
      <rPr>
        <vertAlign val="superscript"/>
        <sz val="10"/>
        <rFont val="Times New Roman"/>
        <family val="1"/>
      </rPr>
      <t>9</t>
    </r>
  </si>
  <si>
    <t>UK</t>
  </si>
  <si>
    <r>
      <t>98%</t>
    </r>
    <r>
      <rPr>
        <vertAlign val="superscript"/>
        <sz val="10"/>
        <rFont val="Times New Roman"/>
        <family val="1"/>
      </rPr>
      <t>10</t>
    </r>
  </si>
  <si>
    <r>
      <t>89%</t>
    </r>
    <r>
      <rPr>
        <vertAlign val="superscript"/>
        <sz val="10"/>
        <rFont val="Times New Roman"/>
        <family val="1"/>
      </rPr>
      <t>10</t>
    </r>
  </si>
  <si>
    <r>
      <t>76%</t>
    </r>
    <r>
      <rPr>
        <vertAlign val="superscript"/>
        <sz val="10"/>
        <rFont val="Times New Roman"/>
        <family val="1"/>
      </rPr>
      <t>10</t>
    </r>
  </si>
  <si>
    <r>
      <t>83%</t>
    </r>
    <r>
      <rPr>
        <vertAlign val="superscript"/>
        <sz val="10"/>
        <rFont val="Times New Roman"/>
        <family val="1"/>
      </rPr>
      <t>10</t>
    </r>
  </si>
  <si>
    <t>United Kingdom</t>
  </si>
  <si>
    <r>
      <t>75.7%</t>
    </r>
    <r>
      <rPr>
        <vertAlign val="superscript"/>
        <sz val="10"/>
        <rFont val="Times New Roman"/>
        <family val="1"/>
      </rPr>
      <t>16</t>
    </r>
  </si>
  <si>
    <t>Service Stream Ltd</t>
  </si>
  <si>
    <t>Nokia Solutions and Networks (S) Pte Ltd</t>
  </si>
  <si>
    <t xml:space="preserve">The total NLA of the portfolio used in the computation has excluded 18 Cross Street retail podium (NLA c. 64,000 sf) which is currently closed for asset enhancement. 
</t>
  </si>
  <si>
    <t>3</t>
  </si>
  <si>
    <t>1Q19</t>
  </si>
  <si>
    <t>Rio Tinto Shared Services Pty Ltd</t>
  </si>
  <si>
    <r>
      <t>97.2%</t>
    </r>
    <r>
      <rPr>
        <vertAlign val="superscript"/>
        <sz val="10"/>
        <rFont val="Times New Roman"/>
        <family val="1"/>
      </rPr>
      <t>13</t>
    </r>
  </si>
  <si>
    <r>
      <t>68.6%</t>
    </r>
    <r>
      <rPr>
        <vertAlign val="superscript"/>
        <sz val="10"/>
        <rFont val="Times New Roman"/>
        <family val="1"/>
      </rPr>
      <t>14</t>
    </r>
  </si>
  <si>
    <r>
      <t>75.0%</t>
    </r>
    <r>
      <rPr>
        <vertAlign val="superscript"/>
        <sz val="10"/>
        <rFont val="Times New Roman"/>
        <family val="1"/>
      </rPr>
      <t>16</t>
    </r>
  </si>
  <si>
    <r>
      <t>98.9%</t>
    </r>
    <r>
      <rPr>
        <vertAlign val="superscript"/>
        <sz val="10"/>
        <rFont val="Times New Roman"/>
        <family val="1"/>
      </rPr>
      <t>14</t>
    </r>
  </si>
  <si>
    <t>Straight lining adjustments</t>
  </si>
  <si>
    <t>S$50m Transferable Term Loan Facility</t>
  </si>
  <si>
    <t>2Q19</t>
  </si>
  <si>
    <r>
      <t>95.3%</t>
    </r>
    <r>
      <rPr>
        <vertAlign val="superscript"/>
        <sz val="10"/>
        <rFont val="Times New Roman"/>
        <family val="1"/>
      </rPr>
      <t>13</t>
    </r>
  </si>
  <si>
    <r>
      <t>59.2%</t>
    </r>
    <r>
      <rPr>
        <vertAlign val="superscript"/>
        <sz val="10"/>
        <rFont val="Times New Roman"/>
        <family val="1"/>
      </rPr>
      <t>14</t>
    </r>
  </si>
  <si>
    <r>
      <t>83.5%</t>
    </r>
    <r>
      <rPr>
        <vertAlign val="superscript"/>
        <sz val="10"/>
        <rFont val="Times New Roman"/>
        <family val="1"/>
      </rPr>
      <t>14</t>
    </r>
  </si>
  <si>
    <r>
      <t>67.5%</t>
    </r>
    <r>
      <rPr>
        <vertAlign val="superscript"/>
        <sz val="10"/>
        <rFont val="Times New Roman"/>
        <family val="1"/>
      </rPr>
      <t>16</t>
    </r>
  </si>
  <si>
    <t>Olympus Singapore Pte Ltd</t>
  </si>
  <si>
    <t>CCC</t>
  </si>
  <si>
    <t>PORTFOLIO INFORMATION AS AT 30 JUNE 2019</t>
  </si>
  <si>
    <t>As at 30 June 2019</t>
  </si>
  <si>
    <t>4.53X</t>
  </si>
  <si>
    <t xml:space="preserve">For quarter ended 30 June 2019. </t>
  </si>
  <si>
    <t>3Q19</t>
  </si>
  <si>
    <t xml:space="preserve">Any discrepancies between individual amounts and total are due to rounding. Data as at 30 June 2019. Exclude lease incentives and retail turnover rents, if any. For Farnborough Business Park, reimbursements of rent free incentives and rent guarantee for certain unlet units, among others, by the vendor in accordance with the terms of the acquisition (refer to announcement dated 14 December 2017 for details) are included. </t>
  </si>
  <si>
    <r>
      <t>94.8%</t>
    </r>
    <r>
      <rPr>
        <vertAlign val="superscript"/>
        <sz val="10"/>
        <rFont val="Times New Roman"/>
        <family val="1"/>
      </rPr>
      <t>13</t>
    </r>
  </si>
  <si>
    <r>
      <t>93.7%</t>
    </r>
    <r>
      <rPr>
        <vertAlign val="superscript"/>
        <sz val="10"/>
        <rFont val="Times New Roman"/>
        <family val="1"/>
      </rPr>
      <t>14</t>
    </r>
  </si>
  <si>
    <r>
      <t>83.1%</t>
    </r>
    <r>
      <rPr>
        <vertAlign val="superscript"/>
        <sz val="10"/>
        <rFont val="Times New Roman"/>
        <family val="1"/>
      </rPr>
      <t>14</t>
    </r>
  </si>
  <si>
    <r>
      <rPr>
        <sz val="10"/>
        <rFont val="Calibri"/>
        <family val="2"/>
      </rPr>
      <t>£1.4</t>
    </r>
    <r>
      <rPr>
        <sz val="9.4"/>
        <rFont val="Times New Roman"/>
        <family val="1"/>
      </rPr>
      <t>m revolving credit facility</t>
    </r>
  </si>
  <si>
    <t>A$3.5m revolving credit facility</t>
  </si>
</sst>
</file>

<file path=xl/styles.xml><?xml version="1.0" encoding="utf-8"?>
<styleSheet xmlns="http://schemas.openxmlformats.org/spreadsheetml/2006/main">
  <numFmts count="1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_(* \(#,##0\);_(* &quot;-&quot;??_);_(@_)"/>
    <numFmt numFmtId="169" formatCode="dd\.mm\.yyyy"/>
    <numFmt numFmtId="170" formatCode="_(* #,##0.0000_);_(* \(#,##0.0000\);_(* &quot;-&quot;??_);_(@_)"/>
    <numFmt numFmtId="171" formatCode="#,##0.0"/>
    <numFmt numFmtId="172" formatCode="0.0%"/>
    <numFmt numFmtId="173" formatCode="0.0"/>
    <numFmt numFmtId="174" formatCode="#,##0.0_);\(#,##0.0\)"/>
    <numFmt numFmtId="175" formatCode="_(* #,##0.0_);_(* \(#,##0.0\);_(* &quot;-&quot;??_);_(@_)"/>
    <numFmt numFmtId="176" formatCode="[$-409]mmm\-yy;@"/>
    <numFmt numFmtId="177" formatCode="mmm\-yyyy"/>
    <numFmt numFmtId="178" formatCode="&quot;S$&quot;#,##0.0&quot;m&quot;"/>
    <numFmt numFmtId="179" formatCode="#,##0.0000_);\(#,##0.0000\)"/>
    <numFmt numFmtId="180" formatCode="#,##0.000_);\(#,##0.000\)"/>
    <numFmt numFmtId="181" formatCode="[$-409]d\-mmm\-yy;@"/>
    <numFmt numFmtId="182" formatCode="_(* #,##0.0_);_(* \(#,##0.0\);_(* &quot;-&quot;?_);_(@_)"/>
    <numFmt numFmtId="183" formatCode="#,##0.00000_);\(#,##0.00000\)"/>
    <numFmt numFmtId="184" formatCode="_(* #,##0.00000_);_(* \(#,##0.00000\);_(* &quot;-&quot;?????_);_(@_)"/>
    <numFmt numFmtId="185" formatCode="&quot;$&quot;#,##0.00"/>
    <numFmt numFmtId="186" formatCode="_-&quot;£&quot;* #,##0.00_-;\-&quot;£&quot;* #,##0.00_-;_-&quot;£&quot;* &quot;-&quot;??_-;_-@_-"/>
    <numFmt numFmtId="187" formatCode="mm/dd/yy"/>
    <numFmt numFmtId="188" formatCode="#,##0_)\x;\(#,##0\)\x;0_)\x;@_)_x"/>
    <numFmt numFmtId="189" formatCode="#,##0.0_);\(#,##0.0\);#,##0.0_);@_)"/>
    <numFmt numFmtId="190" formatCode="&quot;\&quot;_(#,##0.00_);&quot;\&quot;\(#,##0.00\);&quot;\&quot;_(0.00_);@_)"/>
    <numFmt numFmtId="191" formatCode="#,##0.00_);\(#,##0.00\);0.00_);@_)"/>
    <numFmt numFmtId="192" formatCode="\€_(#,##0.00_);\€\(#,##0.00\);\€_(0.00_);@_)"/>
    <numFmt numFmtId="193" formatCode="0.0_)\%;\(0.0\)\%;0.0_)\%;@_)_%"/>
    <numFmt numFmtId="194" formatCode="#,##0.0_)_%;\(#,##0.0\)_%;0.0_)_%;@_)_%"/>
    <numFmt numFmtId="195" formatCode="#,##0_)_x;\(#,##0\)_x;0_)_x;@_)_x"/>
    <numFmt numFmtId="196" formatCode="0.000000%"/>
    <numFmt numFmtId="197" formatCode="&quot;$&quot;_(#,##0.00_);&quot;$&quot;\(#,##0.00\);&quot;$&quot;_(0.00_);@_)"/>
    <numFmt numFmtId="198" formatCode="&quot;\&quot;_(#,##0.00_);&quot;\&quot;\(#,##0.00\)"/>
    <numFmt numFmtId="199" formatCode="#,##0.0_)\x;\(#,##0.0\)\x"/>
    <numFmt numFmtId="200" formatCode="#,##0.0_)_x;\(#,##0.0\)_x"/>
    <numFmt numFmtId="201" formatCode="0.0_)\%;\(0.0\)\%"/>
    <numFmt numFmtId="202" formatCode="#,##0.0_)_%;\(#,##0.0\)_%"/>
    <numFmt numFmtId="203" formatCode="_(\･* #,##0.00_);_(\･* \(#,##0.00\);_(\･* &quot;-&quot;??_);_(@_)"/>
    <numFmt numFmtId="204" formatCode="\･#,##0.00_);[Red]\(\･#,##0.00\)"/>
    <numFmt numFmtId="205" formatCode="&quot;α&quot;\ #,##0_);[Red]\(&quot;α&quot;\ #,##0\)"/>
    <numFmt numFmtId="206" formatCode="&quot;功&quot;\ #,##0_);[Red]\(&quot;功&quot;\ #,##0\)"/>
    <numFmt numFmtId="207" formatCode="&quot;&quot;\ \ @"/>
    <numFmt numFmtId="208" formatCode="0.000_)"/>
    <numFmt numFmtId="209" formatCode="&quot;€&quot;_(#,##0.00_);&quot;€&quot;\(#,##0.00\);&quot;€&quot;_(0.00_);@_)"/>
    <numFmt numFmtId="210" formatCode="_(&quot;･&quot;* #,##0.00_);_(&quot;･&quot;* \(#,##0.00\);_(&quot;･&quot;* &quot;-&quot;??_);_(@_)"/>
    <numFmt numFmtId="211" formatCode="&quot;\&quot;#,##0;&quot;\&quot;\-#,##0"/>
    <numFmt numFmtId="212" formatCode="&quot;\&quot;#,##0.00;[Red]&quot;\&quot;\-#,##0.00"/>
    <numFmt numFmtId="213" formatCode="\$#,##0_);[Red]\(\$#,##0\)"/>
    <numFmt numFmtId="214" formatCode="\$#,##0.00_);\(\$#,##0.00\)"/>
    <numFmt numFmtId="215" formatCode="&quot;CY &quot;yyyy_)"/>
    <numFmt numFmtId="216" formatCode="0.000%"/>
    <numFmt numFmtId="217" formatCode="&quot;$&quot;#,##0.000"/>
    <numFmt numFmtId="218" formatCode="_(* #,##0_);_(* \(#,##0\);_(* 0_);_(@_)"/>
    <numFmt numFmtId="219" formatCode=";;;"/>
    <numFmt numFmtId="220" formatCode="0.00_);[Red]\(0.00\)"/>
    <numFmt numFmtId="221" formatCode="General_)"/>
    <numFmt numFmtId="222" formatCode="#,##0.0\x_);\(#,##0.0\x\);#,##0.0\x_);@_)"/>
    <numFmt numFmtId="223" formatCode="#,##0.0\%_);\(#,##0.0\%\);#,##0.0\%_);@_)"/>
    <numFmt numFmtId="224" formatCode="_-* #,##0\ &quot;DM&quot;_-;\-* #,##0\ &quot;DM&quot;_-;_-* &quot;-&quot;\ &quot;DM&quot;_-;_-@_-"/>
    <numFmt numFmtId="225" formatCode="_-* #,##0\ _D_M_-;\-* #,##0\ _D_M_-;_-* &quot;-&quot;\ _D_M_-;_-@_-"/>
    <numFmt numFmtId="226" formatCode="_-* #,##0.00\ &quot;DM&quot;_-;\-* #,##0.00\ &quot;DM&quot;_-;_-* &quot;-&quot;??\ &quot;DM&quot;_-;_-@_-"/>
    <numFmt numFmtId="227" formatCode="_-* #,##0.00\ _D_M_-;\-* #,##0.00\ _D_M_-;_-* &quot;-&quot;??\ _D_M_-;_-@_-"/>
    <numFmt numFmtId="228" formatCode="m/yy"/>
    <numFmt numFmtId="229" formatCode="mm/dd"/>
    <numFmt numFmtId="230" formatCode="000000000"/>
    <numFmt numFmtId="231" formatCode="000"/>
    <numFmt numFmtId="232" formatCode="mmm\-yy_)"/>
    <numFmt numFmtId="233" formatCode="mm/dd/yy_)"/>
    <numFmt numFmtId="234" formatCode="#,##0\ &quot;F&quot;;[Red]\-#,##0\ &quot;F&quot;"/>
    <numFmt numFmtId="235" formatCode="#,##0.00\ &quot;F&quot;;\-#,##0.00\ &quot;F&quot;"/>
    <numFmt numFmtId="236" formatCode="#,##0.00\ &quot;F&quot;;[Red]\-#,##0.00\ &quot;F&quot;"/>
    <numFmt numFmtId="237" formatCode="_-* #,##0\ &quot;F&quot;_-;\-* #,##0\ &quot;F&quot;_-;_-* &quot;-&quot;\ &quot;F&quot;_-;_-@_-"/>
    <numFmt numFmtId="238" formatCode="_-* #,##0\ _F_-;\-* #,##0\ _F_-;_-* &quot;-&quot;\ _F_-;_-@_-"/>
    <numFmt numFmtId="239" formatCode="_([$€-2]* #,##0.00_);_([$€-2]* \(#,##0.00\);_([$€-2]* &quot;-&quot;??_)"/>
    <numFmt numFmtId="240" formatCode="\$#,##0.0_);\(\$###0.0\)_)"/>
    <numFmt numFmtId="241" formatCode="#,##0.0\x_);\(#,##0.0\)"/>
    <numFmt numFmtId="242" formatCode="\\\ #,##0_);[Red]\(\\\ #,##0\)"/>
    <numFmt numFmtId="243" formatCode="&quot;$&quot;_(#,##0.00_);&quot;$&quot;\(#,##0.00\)"/>
    <numFmt numFmtId="244" formatCode="&quot;£&quot;\ #,##0_);[Red]\(&quot;£&quot;\ #,##0\)"/>
    <numFmt numFmtId="245" formatCode="&quot;￡&quot;\ #,##0_);[Red]\(&quot;￡&quot;\ #,##0\)"/>
    <numFmt numFmtId="246" formatCode="&quot;\&quot;#,##0.0_);\(&quot;\&quot;#,##0.0\)_)"/>
    <numFmt numFmtId="247" formatCode="&quot;$&quot;&quot; &quot;#,##0_);\(&quot;$&quot;&quot; &quot;#,##0\);\-_)"/>
    <numFmt numFmtId="248" formatCode="0%_);\(0%\);\-_)"/>
    <numFmt numFmtId="249" formatCode="#,##0_);\(#,##0\);\-_)"/>
    <numFmt numFmtId="250" formatCode="&quot;$&quot;&quot; &quot;#,##0.0_);\(&quot;$&quot;&quot; &quot;#,##0.0\);\-_)"/>
    <numFmt numFmtId="251" formatCode="0.0%_);\(0.0%\);\-_)"/>
    <numFmt numFmtId="252" formatCode="#,##0.0_);\(#,##0.0\);\-_)"/>
    <numFmt numFmtId="253" formatCode="&quot;$&quot;&quot; &quot;#,##0.00_);\(&quot;$&quot;&quot; &quot;#,##0.00\);\-_)"/>
    <numFmt numFmtId="254" formatCode="0.00%_);\(0.00%\);\-_)"/>
    <numFmt numFmtId="255" formatCode="#,##0.00_);\(#,##0.00\);\-_)"/>
    <numFmt numFmtId="256" formatCode="0.0000000%"/>
    <numFmt numFmtId="257" formatCode="0.00000%"/>
    <numFmt numFmtId="258" formatCode="0.00&quot;x&quot;"/>
    <numFmt numFmtId="259" formatCode="_(&quot;$&quot;* #,##0.0_);_(&quot;$&quot;* \(#,##0.0\);_(&quot;$&quot;* &quot;-&quot;??_);_(@_)"/>
    <numFmt numFmtId="260" formatCode="&quot;$&quot;&quot; &quot;#,##0.0_);\(&quot;$&quot;&quot; &quot;#,##0.0\)"/>
    <numFmt numFmtId="261" formatCode="&quot;$&quot;&quot; &quot;#,##0.00_);\(&quot;$&quot;&quot; &quot;#,##0.00\)"/>
    <numFmt numFmtId="262" formatCode="&quot;$&quot;&quot; &quot;#,##0.000_);\(&quot;$&quot;&quot; &quot;#,##0.000\)"/>
    <numFmt numFmtId="263" formatCode="d\-mmm\-yy_)"/>
    <numFmt numFmtId="264" formatCode="m/d/yy_)"/>
    <numFmt numFmtId="265" formatCode="m/yy_)"/>
    <numFmt numFmtId="266" formatCode="mmm\-yy&quot; &quot;"/>
    <numFmt numFmtId="267" formatCode="* #,##0_%;* \-#,##0_%;* #,##0_%;@_%"/>
    <numFmt numFmtId="268" formatCode="#\ 0/0_)"/>
    <numFmt numFmtId="269" formatCode="#\ 0/8_)"/>
    <numFmt numFmtId="270" formatCode="#\ ?/?_)"/>
    <numFmt numFmtId="271" formatCode="0.0%_);\(0.0%\)"/>
    <numFmt numFmtId="272" formatCode="#,##0.00&quot; x&quot;"/>
    <numFmt numFmtId="273" formatCode="#,##0&quot;x&quot;_);\(#,##0&quot;x&quot;\)"/>
    <numFmt numFmtId="274" formatCode="#,##0.0&quot;x&quot;_);\(#,##0.0&quot;x&quot;\)"/>
    <numFmt numFmtId="275" formatCode="#,##0.00&quot;x&quot;_);\(#,##0.00&quot;x&quot;\)"/>
    <numFmt numFmtId="276" formatCode="\-_)\ "/>
    <numFmt numFmtId="277" formatCode="###0;\(###0\)"/>
    <numFmt numFmtId="278" formatCode="0%\ ;\-0%"/>
    <numFmt numFmtId="279" formatCode="_-* #,##0\ &quot;Pts&quot;_-;\-* #,##0\ &quot;Pts&quot;_-;_-* &quot;-&quot;\ &quot;Pts&quot;_-;_-@_-"/>
    <numFmt numFmtId="280" formatCode="_-* #,##0\ _P_t_s_-;\-* #,##0\ _P_t_s_-;_-* &quot;-&quot;\ _P_t_s_-;_-@_-"/>
    <numFmt numFmtId="281" formatCode="_-* #,##0.00\ &quot;Pts&quot;_-;\-* #,##0.00\ &quot;Pts&quot;_-;_-* &quot;-&quot;??\ &quot;Pts&quot;_-;_-@_-"/>
    <numFmt numFmtId="282" formatCode="_-* #,##0.00\ _P_t_s_-;\-* #,##0.00\ _P_t_s_-;_-* &quot;-&quot;??\ _P_t_s_-;_-@_-"/>
    <numFmt numFmtId="283" formatCode="&quot;\&quot;#,##0_);\(&quot;\&quot;#,##0\)"/>
    <numFmt numFmtId="284" formatCode="&quot;$&quot;#,##0.0_);\(&quot;$&quot;#,##0.0\)"/>
    <numFmt numFmtId="285" formatCode="_(* #,##0.00\ \x_);_(* \(#,##0.00\ \x\);_(* &quot;-&quot;??_);_(@_)"/>
    <numFmt numFmtId="286" formatCode="_(* #,##0\ \x_);_(* \(#,##0\ \x\);_(* &quot;-&quot;??_);_(@_)"/>
    <numFmt numFmtId="287" formatCode="_(* #,##0.0\ \x_);_(* \(#,##0.0\ \x\);_(* &quot;-&quot;??_);_(@_)"/>
    <numFmt numFmtId="288" formatCode="_(* #,##0.000000_);_(* \(#,##0.000000\);_(* &quot;-&quot;??_);_(@_)"/>
    <numFmt numFmtId="289" formatCode="hh:mm\ &quot;午&quot;&quot;前&quot;/&quot;午&quot;&quot;後&quot;_)"/>
    <numFmt numFmtId="290" formatCode="_(&quot;$&quot;* #,##0_);_(&quot;$&quot;* \(#,##0\);_(&quot;$&quot;* &quot;-&quot;??_);_(@_)"/>
    <numFmt numFmtId="291" formatCode="0.0000_)"/>
    <numFmt numFmtId="292" formatCode="#,##0.00\ &quot;DM&quot;;[Red]\-#,##0.00\ &quot;DM&quot;"/>
    <numFmt numFmtId="293" formatCode="#,##0&quot; F&quot;;\-#,##0&quot; F&quot;"/>
    <numFmt numFmtId="294" formatCode="0_)"/>
    <numFmt numFmtId="295" formatCode="&quot;$&quot;#,##0.0_);[Red]\(&quot;$&quot;#,##0.0\)"/>
    <numFmt numFmtId="296" formatCode="#,##0&quot; F&quot;;[Red]\-#,##0&quot; F&quot;"/>
    <numFmt numFmtId="297" formatCode="#,##0.00&quot; F&quot;;\-#,##0.00&quot; F&quot;"/>
    <numFmt numFmtId="298" formatCode="#,##0.00&quot; F&quot;;[Red]\-#,##0.00&quot; F&quot;"/>
    <numFmt numFmtId="299" formatCode="mm/yyyy"/>
    <numFmt numFmtId="300" formatCode="m/d/yyyy\ \ h:mm\ AM/PM"/>
    <numFmt numFmtId="301" formatCode="[&lt;=9999999]###\-####;\(###\)\ ###\-####"/>
    <numFmt numFmtId="302" formatCode="&quot;(&quot;0%&quot;)   &quot;;[Red]\-&quot;(&quot;0%&quot;)   &quot;;&quot;－    &quot;"/>
    <numFmt numFmtId="303" formatCode="&quot;(&quot;0.00%&quot;)   &quot;;[Red]\-&quot;(&quot;0.00%&quot;)   &quot;;&quot;－    &quot;"/>
    <numFmt numFmtId="304" formatCode="&quot;¥&quot;_(#,##0.00_);&quot;¥&quot;\(#,##0.00\);&quot;¥&quot;_(0.00_);@_)"/>
    <numFmt numFmtId="305" formatCode="&quot;¥&quot;_(#,##0.00_);&quot;¥&quot;\(#,##0.00\)"/>
    <numFmt numFmtId="306" formatCode="&quot;¥&quot;#,##0;&quot;¥&quot;\-#,##0"/>
    <numFmt numFmtId="307" formatCode="&quot;¥&quot;#,##0.0_);\(&quot;¥&quot;#,##0.0\)_)"/>
    <numFmt numFmtId="308" formatCode="\?\ \ @"/>
    <numFmt numFmtId="309" formatCode="&quot;$&quot;#,##0_);\(&quot;$&quot;#,##0.0\)"/>
    <numFmt numFmtId="310" formatCode="&quot;¥&quot;#,##0_);\(&quot;¥&quot;#,##0\)"/>
    <numFmt numFmtId="311" formatCode="\ \ _?&quot;?&quot;\ \ \ \ @"/>
    <numFmt numFmtId="312" formatCode="0.00%;[Red]\-0.00%;&quot;－&quot;"/>
    <numFmt numFmtId="313" formatCode="&quot;$&quot;#,##0"/>
    <numFmt numFmtId="314" formatCode="0.0000%"/>
  </numFmts>
  <fonts count="181">
    <font>
      <sz val="10"/>
      <name val="Arial"/>
      <family val="0"/>
    </font>
    <font>
      <sz val="8"/>
      <name val="Arial"/>
      <family val="2"/>
    </font>
    <font>
      <u val="single"/>
      <sz val="10"/>
      <color indexed="12"/>
      <name val="Arial"/>
      <family val="2"/>
    </font>
    <font>
      <b/>
      <sz val="10"/>
      <name val="Times New Roman"/>
      <family val="1"/>
    </font>
    <font>
      <sz val="10"/>
      <name val="Times New Roman"/>
      <family val="1"/>
    </font>
    <font>
      <b/>
      <u val="singleAccounting"/>
      <sz val="10"/>
      <name val="Times New Roman"/>
      <family val="1"/>
    </font>
    <font>
      <b/>
      <u val="single"/>
      <sz val="10"/>
      <name val="Times New Roman"/>
      <family val="1"/>
    </font>
    <font>
      <b/>
      <i/>
      <sz val="10"/>
      <name val="Times New Roman"/>
      <family val="1"/>
    </font>
    <font>
      <i/>
      <sz val="10"/>
      <name val="Times New Roman"/>
      <family val="1"/>
    </font>
    <font>
      <vertAlign val="superscript"/>
      <sz val="10"/>
      <name val="Times New Roman"/>
      <family val="1"/>
    </font>
    <font>
      <sz val="8"/>
      <name val="Times New Roman"/>
      <family val="1"/>
    </font>
    <font>
      <b/>
      <vertAlign val="superscript"/>
      <sz val="10"/>
      <name val="Times New Roman"/>
      <family val="1"/>
    </font>
    <font>
      <b/>
      <sz val="10"/>
      <color indexed="9"/>
      <name val="Times New Roman"/>
      <family val="1"/>
    </font>
    <font>
      <u val="single"/>
      <sz val="10"/>
      <color indexed="36"/>
      <name val="Arial"/>
      <family val="2"/>
    </font>
    <font>
      <sz val="8"/>
      <name val="Webdings"/>
      <family val="1"/>
    </font>
    <font>
      <sz val="7"/>
      <name val="Webdings"/>
      <family val="1"/>
    </font>
    <font>
      <b/>
      <sz val="10"/>
      <name val="Arial"/>
      <family val="2"/>
    </font>
    <font>
      <vertAlign val="superscript"/>
      <sz val="9"/>
      <name val="Times New Roman"/>
      <family val="1"/>
    </font>
    <font>
      <sz val="9"/>
      <name val="Times New Roman"/>
      <family val="1"/>
    </font>
    <font>
      <b/>
      <sz val="8"/>
      <color indexed="30"/>
      <name val="Times New Roman"/>
      <family val="1"/>
    </font>
    <font>
      <sz val="8"/>
      <color indexed="30"/>
      <name val="Times New Roman"/>
      <family val="1"/>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name val="Arial"/>
      <family val="2"/>
    </font>
    <font>
      <b/>
      <sz val="9"/>
      <name val="Arial"/>
      <family val="2"/>
    </font>
    <font>
      <sz val="11"/>
      <name val="ＭＳ ゴシック"/>
      <family val="3"/>
    </font>
    <font>
      <u val="single"/>
      <sz val="8.4"/>
      <color indexed="12"/>
      <name val="Arial"/>
      <family val="2"/>
    </font>
    <font>
      <sz val="12"/>
      <name val="Times New Roman"/>
      <family val="1"/>
    </font>
    <font>
      <sz val="11"/>
      <name val="ＭＳ Ｐゴシック"/>
      <family val="3"/>
    </font>
    <font>
      <sz val="10"/>
      <name val="ＭＳ 明朝"/>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2"/>
      <name val="Times New Roman"/>
      <family val="1"/>
    </font>
    <font>
      <sz val="10"/>
      <name val="MS Sans Serif"/>
      <family val="2"/>
    </font>
    <font>
      <sz val="11"/>
      <name val="Tms Rmn"/>
      <family val="1"/>
    </font>
    <font>
      <sz val="1"/>
      <color indexed="8"/>
      <name val="Courier"/>
      <family val="3"/>
    </font>
    <font>
      <i/>
      <sz val="1"/>
      <color indexed="8"/>
      <name val="Courier"/>
      <family val="3"/>
    </font>
    <font>
      <b/>
      <sz val="12"/>
      <name val="Arial"/>
      <family val="2"/>
    </font>
    <font>
      <sz val="8"/>
      <color indexed="8"/>
      <name val="Arial"/>
      <family val="2"/>
    </font>
    <font>
      <sz val="10"/>
      <name val="Geneva"/>
      <family val="2"/>
    </font>
    <font>
      <u val="single"/>
      <sz val="16.5"/>
      <color indexed="36"/>
      <name val="Arial Narrow"/>
      <family val="2"/>
    </font>
    <font>
      <sz val="11"/>
      <color indexed="8"/>
      <name val="ＭＳ Ｐゴシック"/>
      <family val="3"/>
    </font>
    <font>
      <sz val="11"/>
      <color indexed="9"/>
      <name val="ＭＳ Ｐゴシック"/>
      <family val="3"/>
    </font>
    <font>
      <u val="single"/>
      <sz val="11"/>
      <color indexed="36"/>
      <name val="ＭＳ Ｐゴシック"/>
      <family val="3"/>
    </font>
    <font>
      <b/>
      <sz val="15"/>
      <color indexed="56"/>
      <name val="Calibri"/>
      <family val="2"/>
    </font>
    <font>
      <b/>
      <sz val="13"/>
      <color indexed="56"/>
      <name val="Calibri"/>
      <family val="2"/>
    </font>
    <font>
      <b/>
      <sz val="11"/>
      <color indexed="56"/>
      <name val="Calibri"/>
      <family val="2"/>
    </font>
    <font>
      <sz val="10"/>
      <name val="Helv"/>
      <family val="2"/>
    </font>
    <font>
      <b/>
      <sz val="18"/>
      <color indexed="56"/>
      <name val="Cambria"/>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돋움"/>
      <family val="0"/>
    </font>
    <font>
      <sz val="11"/>
      <name val="Times New Roman"/>
      <family val="1"/>
    </font>
    <font>
      <sz val="10"/>
      <color indexed="18"/>
      <name val="ＭＳ 明朝"/>
      <family val="1"/>
    </font>
    <font>
      <sz val="11"/>
      <name val="MS P????"/>
      <family val="3"/>
    </font>
    <font>
      <sz val="14"/>
      <name val="?? ??"/>
      <family val="1"/>
    </font>
    <font>
      <sz val="10"/>
      <color indexed="8"/>
      <name val="MS P????"/>
      <family val="3"/>
    </font>
    <font>
      <sz val="11"/>
      <name val="?l?r ?o?S?V?b?N"/>
      <family val="3"/>
    </font>
    <font>
      <sz val="11"/>
      <name val="?l?r ?S?V?b?N"/>
      <family val="3"/>
    </font>
    <font>
      <sz val="11"/>
      <name val="??l"/>
      <family val="1"/>
    </font>
    <font>
      <sz val="10.5"/>
      <name val="Arial"/>
      <family val="2"/>
    </font>
    <font>
      <sz val="12"/>
      <name val="Arial"/>
      <family val="1"/>
    </font>
    <font>
      <sz val="11"/>
      <name val="‚l‚r ‚oƒSƒVƒbƒN"/>
      <family val="3"/>
    </font>
    <font>
      <sz val="10"/>
      <name val="Book Antiqua"/>
      <family val="1"/>
    </font>
    <font>
      <sz val="9"/>
      <name val="Tahoma"/>
      <family val="2"/>
    </font>
    <font>
      <sz val="10"/>
      <color indexed="12"/>
      <name val="Arial"/>
      <family val="2"/>
    </font>
    <font>
      <b/>
      <sz val="8"/>
      <name val="TimesNewRomanPS"/>
      <family val="1"/>
    </font>
    <font>
      <b/>
      <i/>
      <sz val="10"/>
      <color indexed="30"/>
      <name val="Comic Sans MS"/>
      <family val="4"/>
    </font>
    <font>
      <sz val="8"/>
      <color indexed="30"/>
      <name val="Comic Sans MS"/>
      <family val="4"/>
    </font>
    <font>
      <b/>
      <sz val="8"/>
      <color indexed="30"/>
      <name val="Comic Sans MS"/>
      <family val="4"/>
    </font>
    <font>
      <sz val="10"/>
      <color indexed="30"/>
      <name val="Comic Sans MS"/>
      <family val="4"/>
    </font>
    <font>
      <sz val="10"/>
      <name val="Arial Narrow"/>
      <family val="2"/>
    </font>
    <font>
      <sz val="11"/>
      <name val="?? ?????"/>
      <family val="3"/>
    </font>
    <font>
      <b/>
      <sz val="9"/>
      <name val="Tahoma"/>
      <family val="2"/>
    </font>
    <font>
      <sz val="10"/>
      <name val="ＭＳ Ｐゴシック"/>
      <family val="3"/>
    </font>
    <font>
      <sz val="10"/>
      <name val="BERNHARD"/>
      <family val="1"/>
    </font>
    <font>
      <b/>
      <sz val="10"/>
      <color indexed="30"/>
      <name val="Comic Sans MS"/>
      <family val="4"/>
    </font>
    <font>
      <sz val="12"/>
      <color indexed="30"/>
      <name val="Comic Sans MS"/>
      <family val="4"/>
    </font>
    <font>
      <sz val="10"/>
      <name val="MS Serif"/>
      <family val="1"/>
    </font>
    <font>
      <sz val="8"/>
      <color indexed="14"/>
      <name val="Times New Roman"/>
      <family val="1"/>
    </font>
    <font>
      <sz val="10"/>
      <color indexed="16"/>
      <name val="MS Serif"/>
      <family val="1"/>
    </font>
    <font>
      <b/>
      <sz val="10"/>
      <name val="Tahoma"/>
      <family val="2"/>
    </font>
    <font>
      <u val="single"/>
      <sz val="12"/>
      <name val="Tahoma"/>
      <family val="2"/>
    </font>
    <font>
      <u val="single"/>
      <sz val="11"/>
      <name val="Tahoma"/>
      <family val="2"/>
    </font>
    <font>
      <u val="single"/>
      <sz val="10"/>
      <name val="Tahoma"/>
      <family val="2"/>
    </font>
    <font>
      <u val="single"/>
      <sz val="9"/>
      <name val="Tahoma"/>
      <family val="2"/>
    </font>
    <font>
      <b/>
      <sz val="8"/>
      <name val="Palatino"/>
      <family val="1"/>
    </font>
    <font>
      <sz val="8"/>
      <name val="Palatino"/>
      <family val="1"/>
    </font>
    <font>
      <sz val="7"/>
      <name val="Small Fonts"/>
      <family val="2"/>
    </font>
    <font>
      <sz val="8"/>
      <color indexed="8"/>
      <name val="MS Sans Serif"/>
      <family val="2"/>
    </font>
    <font>
      <sz val="10"/>
      <name val="ＭＳ ゴシック"/>
      <family val="3"/>
    </font>
    <font>
      <b/>
      <sz val="26"/>
      <name val="Times New Roman"/>
      <family val="1"/>
    </font>
    <font>
      <b/>
      <sz val="18"/>
      <name val="Times New Roman"/>
      <family val="1"/>
    </font>
    <font>
      <b/>
      <sz val="10"/>
      <name val="MS Sans Serif"/>
      <family val="2"/>
    </font>
    <font>
      <sz val="8"/>
      <color indexed="16"/>
      <name val="Century Schoolbook"/>
      <family val="1"/>
    </font>
    <font>
      <sz val="8"/>
      <name val="Helv"/>
      <family val="2"/>
    </font>
    <font>
      <b/>
      <sz val="11"/>
      <name val="Helv"/>
      <family val="2"/>
    </font>
    <font>
      <b/>
      <u val="single"/>
      <sz val="10"/>
      <name val="Tahoma"/>
      <family val="2"/>
    </font>
    <font>
      <b/>
      <sz val="8"/>
      <name val="Tahoma"/>
      <family val="2"/>
    </font>
    <font>
      <sz val="7"/>
      <name val="Times New Roman"/>
      <family val="1"/>
    </font>
    <font>
      <b/>
      <u val="single"/>
      <sz val="12"/>
      <color indexed="10"/>
      <name val="ＭＳ Ｐゴシック"/>
      <family val="3"/>
    </font>
    <font>
      <b/>
      <sz val="11"/>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b/>
      <sz val="14"/>
      <name val="Times New Roman"/>
      <family val="1"/>
    </font>
    <font>
      <sz val="11"/>
      <name val="lr ¾©"/>
      <family val="2"/>
    </font>
    <font>
      <sz val="10"/>
      <name val="細明朝体"/>
      <family val="3"/>
    </font>
    <font>
      <sz val="10.5"/>
      <name val="ＭＳ Ｐゴシック"/>
      <family val="3"/>
    </font>
    <font>
      <sz val="12"/>
      <name val="바탕체"/>
      <family val="3"/>
    </font>
    <font>
      <sz val="12"/>
      <name val="ＭＳ 明朝"/>
      <family val="1"/>
    </font>
    <font>
      <sz val="11"/>
      <name val="ＭＳ 明朝"/>
      <family val="1"/>
    </font>
    <font>
      <sz val="14"/>
      <name val="ＭＳ 明朝"/>
      <family val="1"/>
    </font>
    <font>
      <sz val="10"/>
      <color indexed="10"/>
      <name val="Times New Roman"/>
      <family val="1"/>
    </font>
    <font>
      <b/>
      <sz val="14"/>
      <name val="ＭＳ Ｐゴシック"/>
      <family val="3"/>
    </font>
    <font>
      <u val="single"/>
      <sz val="8.25"/>
      <color indexed="36"/>
      <name val="ＭＳ Ｐゴシック"/>
      <family val="3"/>
    </font>
    <font>
      <sz val="9"/>
      <name val="ＭＳ 明朝"/>
      <family val="1"/>
    </font>
    <font>
      <b/>
      <sz val="18"/>
      <color indexed="62"/>
      <name val="ＭＳ Ｐゴシック"/>
      <family val="3"/>
    </font>
    <font>
      <sz val="10"/>
      <name val="ＭＳ Ｐ明朝"/>
      <family val="1"/>
    </font>
    <font>
      <sz val="12"/>
      <name val="ＭＳ Ｐゴシック"/>
      <family val="3"/>
    </font>
    <font>
      <sz val="12"/>
      <color indexed="8"/>
      <name val="TimesNewRomanPS"/>
      <family val="1"/>
    </font>
    <font>
      <b/>
      <sz val="8"/>
      <color indexed="8"/>
      <name val="Helv"/>
      <family val="2"/>
    </font>
    <font>
      <b/>
      <sz val="9"/>
      <name val="Times New Roman"/>
      <family val="1"/>
    </font>
    <font>
      <b/>
      <sz val="11"/>
      <color indexed="62"/>
      <name val="ＭＳ Ｐゴシック"/>
      <family val="3"/>
    </font>
    <font>
      <b/>
      <sz val="15"/>
      <color indexed="62"/>
      <name val="Calibri"/>
      <family val="2"/>
    </font>
    <font>
      <b/>
      <sz val="11"/>
      <color indexed="62"/>
      <name val="Calibri"/>
      <family val="2"/>
    </font>
    <font>
      <b/>
      <sz val="18"/>
      <color indexed="62"/>
      <name val="Cambria"/>
      <family val="2"/>
    </font>
    <font>
      <sz val="10"/>
      <name val="Calibri"/>
      <family val="2"/>
    </font>
    <font>
      <sz val="9.4"/>
      <name val="Times New Roman"/>
      <family val="1"/>
    </font>
    <font>
      <b/>
      <sz val="13"/>
      <color indexed="62"/>
      <name val="Calibri"/>
      <family val="2"/>
    </font>
    <font>
      <sz val="11"/>
      <color indexed="62"/>
      <name val="Calibri"/>
      <family val="2"/>
    </font>
    <font>
      <sz val="11"/>
      <color indexed="8"/>
      <name val="Arial Narrow"/>
      <family val="2"/>
    </font>
    <font>
      <sz val="8"/>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1"/>
      <color theme="1"/>
      <name val="Calibri"/>
      <family val="2"/>
    </font>
    <font>
      <sz val="11"/>
      <color rgb="FFFF0000"/>
      <name val="Calibri"/>
      <family val="2"/>
    </font>
    <font>
      <sz val="8"/>
      <color rgb="FF332B2A"/>
      <name val="Calibri"/>
      <family val="2"/>
    </font>
    <font>
      <b/>
      <sz val="8"/>
      <name val="Arial"/>
      <family val="2"/>
    </font>
  </fonts>
  <fills count="4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mediumGray">
        <fgColor indexed="22"/>
      </patternFill>
    </fill>
    <fill>
      <patternFill patternType="solid">
        <fgColor indexed="63"/>
        <bgColor indexed="64"/>
      </patternFill>
    </fill>
    <fill>
      <patternFill patternType="solid">
        <fgColor indexed="24"/>
        <bgColor indexed="64"/>
      </patternFill>
    </fill>
    <fill>
      <patternFill patternType="solid">
        <fgColor indexed="13"/>
        <bgColor indexed="64"/>
      </patternFill>
    </fill>
  </fills>
  <borders count="55">
    <border>
      <left/>
      <right/>
      <top/>
      <bottom/>
      <diagonal/>
    </border>
    <border>
      <left style="thin"/>
      <right style="thin"/>
      <top style="thin"/>
      <bottom style="thin"/>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ck">
        <color indexed="30"/>
      </top>
      <bottom>
        <color indexed="63"/>
      </bottom>
    </border>
    <border>
      <left style="thin">
        <color indexed="30"/>
      </left>
      <right style="thin">
        <color indexed="30"/>
      </right>
      <top>
        <color indexed="63"/>
      </top>
      <bottom style="double">
        <color indexed="30"/>
      </bottom>
    </border>
    <border>
      <left>
        <color indexed="63"/>
      </left>
      <right>
        <color indexed="63"/>
      </right>
      <top>
        <color indexed="63"/>
      </top>
      <bottom style="thin">
        <color indexed="30"/>
      </bottom>
    </border>
    <border>
      <left>
        <color indexed="63"/>
      </left>
      <right>
        <color indexed="63"/>
      </right>
      <top>
        <color indexed="63"/>
      </top>
      <bottom style="medium"/>
    </border>
    <border>
      <left>
        <color indexed="63"/>
      </left>
      <right>
        <color indexed="63"/>
      </right>
      <top>
        <color indexed="63"/>
      </top>
      <bottom style="thin">
        <color indexed="44"/>
      </bottom>
    </border>
    <border>
      <left>
        <color indexed="63"/>
      </left>
      <right>
        <color indexed="63"/>
      </right>
      <top>
        <color indexed="63"/>
      </top>
      <bottom style="thick">
        <color indexed="30"/>
      </bottom>
    </border>
    <border>
      <left style="thin">
        <color indexed="30"/>
      </left>
      <right style="thin">
        <color indexed="30"/>
      </right>
      <top>
        <color indexed="63"/>
      </top>
      <bottom style="thin">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30"/>
      </left>
      <right>
        <color indexed="63"/>
      </right>
      <top>
        <color indexed="63"/>
      </top>
      <bottom>
        <color indexed="63"/>
      </bottom>
    </border>
    <border>
      <left style="thin">
        <color indexed="30"/>
      </left>
      <right style="thin">
        <color indexed="30"/>
      </right>
      <top>
        <color indexed="63"/>
      </top>
      <bottom>
        <color indexed="63"/>
      </bottom>
    </border>
    <border>
      <left style="medium"/>
      <right style="medium"/>
      <top style="medium"/>
      <bottom style="medium"/>
    </border>
    <border>
      <left>
        <color indexed="63"/>
      </left>
      <right>
        <color indexed="63"/>
      </right>
      <top>
        <color indexed="63"/>
      </top>
      <bottom style="hair">
        <color indexed="2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medium"/>
      <top>
        <color indexed="63"/>
      </top>
      <bottom>
        <color indexed="63"/>
      </bottom>
    </border>
    <border>
      <left style="thin">
        <color indexed="30"/>
      </left>
      <right>
        <color indexed="63"/>
      </right>
      <top>
        <color indexed="63"/>
      </top>
      <bottom style="thin">
        <color indexed="30"/>
      </bottom>
    </border>
    <border>
      <left>
        <color indexed="63"/>
      </left>
      <right style="thin">
        <color indexed="30"/>
      </right>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style="hair"/>
      <bottom style="hair"/>
    </border>
    <border>
      <left style="thick">
        <color indexed="30"/>
      </left>
      <right style="thin">
        <color indexed="30"/>
      </right>
      <top style="thick">
        <color indexed="30"/>
      </top>
      <bottom style="thick">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style="hair">
        <color indexed="22"/>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dotted"/>
      <bottom style="dotted"/>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medium"/>
    </border>
    <border>
      <left>
        <color indexed="63"/>
      </left>
      <right/>
      <top style="thin">
        <color indexed="8"/>
      </top>
      <bottom/>
    </border>
    <border>
      <left style="thin">
        <color rgb="FF999999"/>
      </left>
      <right/>
      <top style="thin">
        <color rgb="FF999999"/>
      </top>
      <bottom/>
    </border>
    <border>
      <left style="thin">
        <color rgb="FF999999"/>
      </left>
      <right/>
      <top/>
      <bottom/>
    </border>
  </borders>
  <cellStyleXfs count="19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pplyFont="0" applyFill="0" applyBorder="0" applyAlignment="0" applyProtection="0"/>
    <xf numFmtId="0" fontId="4" fillId="0" borderId="0">
      <alignment horizontal="center"/>
      <protection/>
    </xf>
    <xf numFmtId="240" fontId="79" fillId="0" borderId="0">
      <alignment/>
      <protection/>
    </xf>
    <xf numFmtId="172" fontId="80" fillId="0" borderId="1" applyFill="0" applyBorder="0" applyProtection="0">
      <alignment/>
    </xf>
    <xf numFmtId="241" fontId="4" fillId="0" borderId="0">
      <alignment/>
      <protection/>
    </xf>
    <xf numFmtId="219" fontId="4" fillId="0" borderId="0" applyFont="0" applyFill="0" applyBorder="0" applyAlignment="0">
      <protection/>
    </xf>
    <xf numFmtId="164" fontId="0" fillId="0" borderId="0" applyFont="0" applyFill="0" applyBorder="0" applyAlignment="0" applyProtection="0"/>
    <xf numFmtId="0" fontId="36" fillId="0" borderId="0" applyFont="0" applyFill="0" applyBorder="0" applyAlignment="0" applyProtection="0"/>
    <xf numFmtId="212" fontId="81"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 fontId="82" fillId="0" borderId="0">
      <alignment/>
      <protection/>
    </xf>
    <xf numFmtId="0" fontId="36" fillId="0" borderId="0" applyFont="0" applyFill="0" applyBorder="0" applyAlignment="0" applyProtection="0"/>
    <xf numFmtId="40" fontId="81" fillId="0" borderId="0" applyFont="0" applyFill="0" applyBorder="0" applyAlignment="0" applyProtection="0"/>
    <xf numFmtId="0" fontId="37" fillId="0" borderId="0" applyNumberFormat="0" applyFill="0" applyBorder="0" applyAlignment="0" applyProtection="0"/>
    <xf numFmtId="38" fontId="81" fillId="0" borderId="0" applyFont="0" applyFill="0" applyBorder="0" applyAlignment="0" applyProtection="0"/>
    <xf numFmtId="1" fontId="82" fillId="0" borderId="0">
      <alignment/>
      <protection/>
    </xf>
    <xf numFmtId="0" fontId="83" fillId="0" borderId="0">
      <alignment/>
      <protection/>
    </xf>
    <xf numFmtId="40" fontId="84" fillId="0" borderId="0" applyFont="0" applyFill="0" applyBorder="0" applyAlignment="0" applyProtection="0"/>
    <xf numFmtId="38" fontId="84" fillId="0" borderId="0" applyFont="0" applyFill="0" applyBorder="0" applyAlignment="0" applyProtection="0"/>
    <xf numFmtId="40" fontId="84" fillId="0" borderId="0" applyFont="0" applyFill="0" applyBorder="0" applyAlignment="0" applyProtection="0"/>
    <xf numFmtId="38" fontId="84" fillId="0" borderId="0" applyFont="0" applyFill="0" applyBorder="0" applyAlignment="0" applyProtection="0"/>
    <xf numFmtId="205" fontId="38" fillId="0" borderId="0" applyFont="0" applyFill="0" applyBorder="0" applyAlignment="0" applyProtection="0"/>
    <xf numFmtId="206" fontId="38" fillId="0" borderId="0" applyFont="0" applyFill="0" applyBorder="0" applyAlignment="0" applyProtection="0"/>
    <xf numFmtId="0" fontId="85" fillId="0" borderId="0">
      <alignment/>
      <protection/>
    </xf>
    <xf numFmtId="0" fontId="86" fillId="0" borderId="0">
      <alignment/>
      <protection/>
    </xf>
    <xf numFmtId="242" fontId="38" fillId="0" borderId="0" applyFont="0" applyFill="0" applyBorder="0" applyAlignment="0" applyProtection="0"/>
    <xf numFmtId="193" fontId="39"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219" fontId="4" fillId="0" borderId="0" applyFont="0" applyFill="0" applyBorder="0" applyAlignment="0" applyProtection="0"/>
    <xf numFmtId="194" fontId="39"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0" fontId="0"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74" fontId="39" fillId="0" borderId="0" applyFont="0" applyFill="0" applyBorder="0" applyAlignment="0" applyProtection="0"/>
    <xf numFmtId="172" fontId="4"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39" fillId="0" borderId="0" applyFont="0" applyFill="0" applyBorder="0" applyAlignment="0" applyProtection="0"/>
    <xf numFmtId="0"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90"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77" fontId="4" fillId="0" borderId="0" applyFont="0" applyFill="0" applyBorder="0" applyAlignment="0" applyProtection="0"/>
    <xf numFmtId="291"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0" fillId="0" borderId="0" applyFont="0" applyFill="0" applyBorder="0" applyAlignment="0" applyProtection="0"/>
    <xf numFmtId="304"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34" fontId="0"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0" fontId="38" fillId="0" borderId="0" applyFont="0" applyFill="0" applyBorder="0" applyAlignment="0" applyProtection="0"/>
    <xf numFmtId="232" fontId="38" fillId="0" borderId="0" applyFont="0" applyFill="0" applyBorder="0" applyAlignment="0" applyProtection="0"/>
    <xf numFmtId="232" fontId="38" fillId="0" borderId="0" applyFont="0" applyFill="0" applyBorder="0" applyAlignment="0" applyProtection="0"/>
    <xf numFmtId="216" fontId="4"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92" fontId="4"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34" fontId="0"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233" fontId="4"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32" fontId="4"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0" fontId="41" fillId="0" borderId="0" applyNumberFormat="0" applyFill="0" applyBorder="0" applyAlignment="0" applyProtection="0"/>
    <xf numFmtId="0" fontId="39" fillId="2" borderId="0" applyNumberFormat="0" applyFont="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284" fontId="4" fillId="0" borderId="0" applyFont="0" applyFill="0" applyBorder="0" applyAlignment="0" applyProtection="0"/>
    <xf numFmtId="199" fontId="39"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99" fontId="39" fillId="0" borderId="0" applyFont="0" applyFill="0" applyBorder="0" applyAlignment="0" applyProtection="0"/>
    <xf numFmtId="0" fontId="0" fillId="0" borderId="0" applyFont="0" applyFill="0" applyBorder="0" applyAlignment="0" applyProtection="0"/>
    <xf numFmtId="235"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0"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288" fontId="4"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293" fontId="4" fillId="0" borderId="0" applyFont="0" applyFill="0" applyBorder="0" applyAlignment="0" applyProtection="0"/>
    <xf numFmtId="199" fontId="39" fillId="0" borderId="0" applyFont="0" applyFill="0" applyBorder="0" applyAlignment="0" applyProtection="0"/>
    <xf numFmtId="199" fontId="0" fillId="0" borderId="0" applyFont="0" applyFill="0" applyBorder="0" applyAlignment="0" applyProtection="0"/>
    <xf numFmtId="235" fontId="0"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39" fillId="0" borderId="0" applyFont="0" applyFill="0" applyBorder="0" applyAlignment="0" applyProtection="0"/>
    <xf numFmtId="0"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294" fontId="4" fillId="0" borderId="0" applyFont="0" applyFill="0" applyBorder="0" applyAlignment="0" applyProtection="0"/>
    <xf numFmtId="200" fontId="39"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00" fontId="39" fillId="0" borderId="0" applyFont="0" applyFill="0" applyBorder="0" applyAlignment="0" applyProtection="0"/>
    <xf numFmtId="0" fontId="0" fillId="0" borderId="0" applyFont="0" applyFill="0" applyBorder="0" applyAlignment="0" applyProtection="0"/>
    <xf numFmtId="236"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0"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295" fontId="4"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96" fontId="4" fillId="0" borderId="0" applyFont="0" applyFill="0" applyBorder="0" applyAlignment="0" applyProtection="0"/>
    <xf numFmtId="200" fontId="39" fillId="0" borderId="0" applyFont="0" applyFill="0" applyBorder="0" applyAlignment="0" applyProtection="0"/>
    <xf numFmtId="200" fontId="0" fillId="0" borderId="0" applyFont="0" applyFill="0" applyBorder="0" applyAlignment="0" applyProtection="0"/>
    <xf numFmtId="236" fontId="0" fillId="0" borderId="0" applyFont="0" applyFill="0" applyBorder="0" applyAlignment="0" applyProtection="0"/>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39" fillId="0" borderId="0" applyFont="0" applyFill="0" applyBorder="0" applyProtection="0">
      <alignment horizontal="right"/>
    </xf>
    <xf numFmtId="0"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201" fontId="39" fillId="0" borderId="0" applyFont="0" applyFill="0" applyBorder="0" applyAlignment="0" applyProtection="0"/>
    <xf numFmtId="201" fontId="39"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37" fontId="0"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91" fontId="4"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97" fontId="4"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238" fontId="0" fillId="0" borderId="0" applyFont="0" applyFill="0" applyBorder="0" applyAlignment="0" applyProtection="0"/>
    <xf numFmtId="0" fontId="38" fillId="0" borderId="0" applyFont="0" applyFill="0" applyBorder="0" applyAlignment="0" applyProtection="0"/>
    <xf numFmtId="233" fontId="38" fillId="0" borderId="0" applyFont="0" applyFill="0" applyBorder="0" applyAlignment="0" applyProtection="0"/>
    <xf numFmtId="233" fontId="38" fillId="0" borderId="0" applyFont="0" applyFill="0" applyBorder="0" applyAlignment="0" applyProtection="0"/>
    <xf numFmtId="219" fontId="4" fillId="0" borderId="0" applyFont="0" applyFill="0" applyBorder="0" applyAlignment="0" applyProtection="0"/>
    <xf numFmtId="177" fontId="4"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98" fontId="4"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0" fontId="42" fillId="0" borderId="0" applyNumberFormat="0" applyFill="0" applyBorder="0" applyProtection="0">
      <alignment vertical="top"/>
    </xf>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0" applyNumberFormat="0" applyFill="0" applyBorder="0" applyProtection="0">
      <alignment horizontal="left"/>
    </xf>
    <xf numFmtId="0" fontId="45" fillId="0" borderId="0" applyNumberFormat="0" applyFill="0" applyBorder="0" applyProtection="0">
      <alignment horizontal="centerContinuous"/>
    </xf>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44" fontId="38" fillId="0" borderId="0" applyFont="0" applyFill="0" applyBorder="0" applyAlignment="0" applyProtection="0"/>
    <xf numFmtId="245" fontId="38" fillId="0" borderId="0" applyFont="0" applyFill="0" applyBorder="0" applyAlignment="0" applyProtection="0"/>
    <xf numFmtId="246" fontId="79" fillId="0" borderId="0">
      <alignment/>
      <protection/>
    </xf>
    <xf numFmtId="307" fontId="79" fillId="0" borderId="0">
      <alignment/>
      <protection/>
    </xf>
    <xf numFmtId="0" fontId="88" fillId="0" borderId="0">
      <alignment/>
      <protection/>
    </xf>
    <xf numFmtId="0" fontId="151" fillId="0" borderId="0">
      <alignment/>
      <protection/>
    </xf>
    <xf numFmtId="0" fontId="88" fillId="0" borderId="0">
      <alignment/>
      <protection/>
    </xf>
    <xf numFmtId="0" fontId="151" fillId="0" borderId="0">
      <alignment/>
      <protection/>
    </xf>
    <xf numFmtId="0" fontId="0" fillId="0" borderId="0">
      <alignment/>
      <protection/>
    </xf>
    <xf numFmtId="0" fontId="89" fillId="0" borderId="0">
      <alignment/>
      <protection/>
    </xf>
    <xf numFmtId="0" fontId="138" fillId="0" borderId="0">
      <alignment/>
      <protection/>
    </xf>
    <xf numFmtId="0" fontId="90" fillId="0" borderId="4" applyNumberFormat="0" applyFont="0" applyFill="0" applyBorder="0" applyAlignment="0">
      <protection/>
    </xf>
    <xf numFmtId="0" fontId="165" fillId="3" borderId="0" applyNumberFormat="0" applyBorder="0" applyAlignment="0" applyProtection="0"/>
    <xf numFmtId="0" fontId="22" fillId="4" borderId="0" applyNumberFormat="0" applyBorder="0" applyAlignment="0" applyProtection="0"/>
    <xf numFmtId="0" fontId="55" fillId="4" borderId="0" applyNumberFormat="0" applyBorder="0" applyAlignment="0" applyProtection="0"/>
    <xf numFmtId="0" fontId="22" fillId="4" borderId="0" applyNumberFormat="0" applyBorder="0" applyAlignment="0" applyProtection="0"/>
    <xf numFmtId="0" fontId="165" fillId="5" borderId="0" applyNumberFormat="0" applyBorder="0" applyAlignment="0" applyProtection="0"/>
    <xf numFmtId="0" fontId="22" fillId="6" borderId="0" applyNumberFormat="0" applyBorder="0" applyAlignment="0" applyProtection="0"/>
    <xf numFmtId="0" fontId="55" fillId="6" borderId="0" applyNumberFormat="0" applyBorder="0" applyAlignment="0" applyProtection="0"/>
    <xf numFmtId="0" fontId="22" fillId="6" borderId="0" applyNumberFormat="0" applyBorder="0" applyAlignment="0" applyProtection="0"/>
    <xf numFmtId="0" fontId="165" fillId="7"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165" fillId="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5" fillId="10" borderId="0" applyNumberFormat="0" applyBorder="0" applyAlignment="0" applyProtection="0"/>
    <xf numFmtId="0" fontId="22" fillId="11" borderId="0" applyNumberFormat="0" applyBorder="0" applyAlignment="0" applyProtection="0"/>
    <xf numFmtId="0" fontId="55" fillId="11" borderId="0" applyNumberFormat="0" applyBorder="0" applyAlignment="0" applyProtection="0"/>
    <xf numFmtId="0" fontId="22" fillId="11" borderId="0" applyNumberFormat="0" applyBorder="0" applyAlignment="0" applyProtection="0"/>
    <xf numFmtId="0" fontId="165" fillId="12"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22" fillId="5"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5" borderId="0" applyNumberFormat="0" applyBorder="0" applyAlignment="0" applyProtection="0"/>
    <xf numFmtId="0" fontId="165" fillId="13"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5" fillId="15" borderId="0" applyNumberFormat="0" applyBorder="0" applyAlignment="0" applyProtection="0"/>
    <xf numFmtId="0" fontId="22" fillId="16" borderId="0" applyNumberFormat="0" applyBorder="0" applyAlignment="0" applyProtection="0"/>
    <xf numFmtId="0" fontId="55" fillId="16" borderId="0" applyNumberFormat="0" applyBorder="0" applyAlignment="0" applyProtection="0"/>
    <xf numFmtId="0" fontId="22" fillId="16" borderId="0" applyNumberFormat="0" applyBorder="0" applyAlignment="0" applyProtection="0"/>
    <xf numFmtId="0" fontId="165" fillId="7" borderId="0" applyNumberFormat="0" applyBorder="0" applyAlignment="0" applyProtection="0"/>
    <xf numFmtId="0" fontId="22" fillId="17" borderId="0" applyNumberFormat="0" applyBorder="0" applyAlignment="0" applyProtection="0"/>
    <xf numFmtId="0" fontId="55" fillId="17" borderId="0" applyNumberFormat="0" applyBorder="0" applyAlignment="0" applyProtection="0"/>
    <xf numFmtId="0" fontId="22" fillId="17" borderId="0" applyNumberFormat="0" applyBorder="0" applyAlignment="0" applyProtection="0"/>
    <xf numFmtId="0" fontId="165" fillId="1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5" fillId="18"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5" fillId="5" borderId="0" applyNumberFormat="0" applyBorder="0" applyAlignment="0" applyProtection="0"/>
    <xf numFmtId="0" fontId="22" fillId="19" borderId="0" applyNumberFormat="0" applyBorder="0" applyAlignment="0" applyProtection="0"/>
    <xf numFmtId="0" fontId="55" fillId="19" borderId="0" applyNumberFormat="0" applyBorder="0" applyAlignment="0" applyProtection="0"/>
    <xf numFmtId="0" fontId="22" fillId="19" borderId="0" applyNumberFormat="0" applyBorder="0" applyAlignment="0" applyProtection="0"/>
    <xf numFmtId="0" fontId="55" fillId="14"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9"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228" fontId="53" fillId="0" borderId="0">
      <alignment horizontal="center"/>
      <protection/>
    </xf>
    <xf numFmtId="0" fontId="166" fillId="20" borderId="0" applyNumberFormat="0" applyBorder="0" applyAlignment="0" applyProtection="0"/>
    <xf numFmtId="0" fontId="23" fillId="21" borderId="0" applyNumberFormat="0" applyBorder="0" applyAlignment="0" applyProtection="0"/>
    <xf numFmtId="0" fontId="56" fillId="21" borderId="0" applyNumberFormat="0" applyBorder="0" applyAlignment="0" applyProtection="0"/>
    <xf numFmtId="0" fontId="23" fillId="21" borderId="0" applyNumberFormat="0" applyBorder="0" applyAlignment="0" applyProtection="0"/>
    <xf numFmtId="0" fontId="166" fillId="22" borderId="0" applyNumberFormat="0" applyBorder="0" applyAlignment="0" applyProtection="0"/>
    <xf numFmtId="0" fontId="23" fillId="16" borderId="0" applyNumberFormat="0" applyBorder="0" applyAlignment="0" applyProtection="0"/>
    <xf numFmtId="0" fontId="56" fillId="16" borderId="0" applyNumberFormat="0" applyBorder="0" applyAlignment="0" applyProtection="0"/>
    <xf numFmtId="0" fontId="23" fillId="16" borderId="0" applyNumberFormat="0" applyBorder="0" applyAlignment="0" applyProtection="0"/>
    <xf numFmtId="0" fontId="166" fillId="7" borderId="0" applyNumberFormat="0" applyBorder="0" applyAlignment="0" applyProtection="0"/>
    <xf numFmtId="0" fontId="23" fillId="17" borderId="0" applyNumberFormat="0" applyBorder="0" applyAlignment="0" applyProtection="0"/>
    <xf numFmtId="0" fontId="56" fillId="17" borderId="0" applyNumberFormat="0" applyBorder="0" applyAlignment="0" applyProtection="0"/>
    <xf numFmtId="0" fontId="23" fillId="17" borderId="0" applyNumberFormat="0" applyBorder="0" applyAlignment="0" applyProtection="0"/>
    <xf numFmtId="0" fontId="166" fillId="13"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6" fillId="24"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6" fillId="5" borderId="0" applyNumberFormat="0" applyBorder="0" applyAlignment="0" applyProtection="0"/>
    <xf numFmtId="0" fontId="23" fillId="25" borderId="0" applyNumberFormat="0" applyBorder="0" applyAlignment="0" applyProtection="0"/>
    <xf numFmtId="0" fontId="56" fillId="25" borderId="0" applyNumberFormat="0" applyBorder="0" applyAlignment="0" applyProtection="0"/>
    <xf numFmtId="0" fontId="23" fillId="25"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5" borderId="0" applyNumberFormat="0" applyBorder="0" applyAlignment="0" applyProtection="0"/>
    <xf numFmtId="14" fontId="91" fillId="0" borderId="0">
      <alignment/>
      <protection/>
    </xf>
    <xf numFmtId="0" fontId="166" fillId="20" borderId="0" applyNumberFormat="0" applyBorder="0" applyAlignment="0" applyProtection="0"/>
    <xf numFmtId="0" fontId="23" fillId="26" borderId="0" applyNumberFormat="0" applyBorder="0" applyAlignment="0" applyProtection="0"/>
    <xf numFmtId="0" fontId="56" fillId="26" borderId="0" applyNumberFormat="0" applyBorder="0" applyAlignment="0" applyProtection="0"/>
    <xf numFmtId="0" fontId="23" fillId="26" borderId="0" applyNumberFormat="0" applyBorder="0" applyAlignment="0" applyProtection="0"/>
    <xf numFmtId="0" fontId="166" fillId="27" borderId="0" applyNumberFormat="0" applyBorder="0" applyAlignment="0" applyProtection="0"/>
    <xf numFmtId="0" fontId="23" fillId="28" borderId="0" applyNumberFormat="0" applyBorder="0" applyAlignment="0" applyProtection="0"/>
    <xf numFmtId="0" fontId="56" fillId="28" borderId="0" applyNumberFormat="0" applyBorder="0" applyAlignment="0" applyProtection="0"/>
    <xf numFmtId="0" fontId="23" fillId="28" borderId="0" applyNumberFormat="0" applyBorder="0" applyAlignment="0" applyProtection="0"/>
    <xf numFmtId="0" fontId="166" fillId="29" borderId="0" applyNumberFormat="0" applyBorder="0" applyAlignment="0" applyProtection="0"/>
    <xf numFmtId="0" fontId="23" fillId="30" borderId="0" applyNumberFormat="0" applyBorder="0" applyAlignment="0" applyProtection="0"/>
    <xf numFmtId="0" fontId="56" fillId="30" borderId="0" applyNumberFormat="0" applyBorder="0" applyAlignment="0" applyProtection="0"/>
    <xf numFmtId="0" fontId="23" fillId="30" borderId="0" applyNumberFormat="0" applyBorder="0" applyAlignment="0" applyProtection="0"/>
    <xf numFmtId="0" fontId="166" fillId="31"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6" fillId="32"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6" fillId="33" borderId="0" applyNumberFormat="0" applyBorder="0" applyAlignment="0" applyProtection="0"/>
    <xf numFmtId="0" fontId="23" fillId="34" borderId="0" applyNumberFormat="0" applyBorder="0" applyAlignment="0" applyProtection="0"/>
    <xf numFmtId="0" fontId="56" fillId="34" borderId="0" applyNumberFormat="0" applyBorder="0" applyAlignment="0" applyProtection="0"/>
    <xf numFmtId="0" fontId="23" fillId="34" borderId="0" applyNumberFormat="0" applyBorder="0" applyAlignment="0" applyProtection="0"/>
    <xf numFmtId="0" fontId="0" fillId="0" borderId="0" applyFill="0" applyBorder="0" applyProtection="0">
      <alignment/>
    </xf>
    <xf numFmtId="0" fontId="167" fillId="35" borderId="0" applyNumberFormat="0" applyBorder="0" applyAlignment="0" applyProtection="0"/>
    <xf numFmtId="0" fontId="24" fillId="6" borderId="0" applyNumberFormat="0" applyBorder="0" applyAlignment="0" applyProtection="0"/>
    <xf numFmtId="0" fontId="69" fillId="6" borderId="0" applyNumberFormat="0" applyBorder="0" applyAlignment="0" applyProtection="0"/>
    <xf numFmtId="0" fontId="24" fillId="6" borderId="0" applyNumberFormat="0" applyBorder="0" applyAlignment="0" applyProtection="0"/>
    <xf numFmtId="247" fontId="4"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52"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0" fillId="0" borderId="0" applyFont="0" applyFill="0" applyBorder="0" applyAlignment="0" applyProtection="0"/>
    <xf numFmtId="196" fontId="0" fillId="0" borderId="0" applyFont="0" applyFill="0" applyBorder="0" applyAlignment="0" applyProtection="0"/>
    <xf numFmtId="257" fontId="0" fillId="0" borderId="0" applyFont="0" applyFill="0" applyBorder="0" applyAlignment="0" applyProtection="0"/>
    <xf numFmtId="258" fontId="0" fillId="0" borderId="0" applyFont="0" applyFill="0" applyBorder="0" applyAlignment="0" applyProtection="0"/>
    <xf numFmtId="259" fontId="0" fillId="0" borderId="0" applyFont="0" applyFill="0" applyBorder="0" applyAlignment="0" applyProtection="0"/>
    <xf numFmtId="0" fontId="92" fillId="0" borderId="0">
      <alignment/>
      <protection/>
    </xf>
    <xf numFmtId="41" fontId="92" fillId="0" borderId="0">
      <alignment/>
      <protection/>
    </xf>
    <xf numFmtId="0" fontId="46" fillId="0" borderId="5" applyNumberFormat="0" applyFill="0" applyAlignment="0" applyProtection="0"/>
    <xf numFmtId="1" fontId="93" fillId="0" borderId="0">
      <alignment/>
      <protection/>
    </xf>
    <xf numFmtId="0" fontId="94" fillId="0" borderId="6">
      <alignment/>
      <protection/>
    </xf>
    <xf numFmtId="0" fontId="95" fillId="14" borderId="7" applyAlignment="0">
      <protection/>
    </xf>
    <xf numFmtId="0" fontId="96" fillId="0" borderId="8">
      <alignment/>
      <protection/>
    </xf>
    <xf numFmtId="0" fontId="10" fillId="0" borderId="9" applyNumberFormat="0" applyFont="0" applyFill="0" applyAlignment="0" applyProtection="0"/>
    <xf numFmtId="0" fontId="10" fillId="0" borderId="10" applyNumberFormat="0" applyFont="0" applyFill="0" applyAlignment="0" applyProtection="0"/>
    <xf numFmtId="0" fontId="97" fillId="0" borderId="11">
      <alignment/>
      <protection/>
    </xf>
    <xf numFmtId="0" fontId="97" fillId="0" borderId="12">
      <alignment/>
      <protection/>
    </xf>
    <xf numFmtId="218" fontId="98" fillId="36" borderId="0">
      <alignment/>
      <protection/>
    </xf>
    <xf numFmtId="207" fontId="38" fillId="0" borderId="0" applyFont="0" applyFill="0" applyBorder="0" applyAlignment="0" applyProtection="0"/>
    <xf numFmtId="308" fontId="38" fillId="0" borderId="0" applyFont="0" applyFill="0" applyBorder="0" applyAlignment="0" applyProtection="0"/>
    <xf numFmtId="0" fontId="36" fillId="0" borderId="0" applyFill="0" applyBorder="0" applyAlignment="0">
      <protection/>
    </xf>
    <xf numFmtId="309" fontId="0" fillId="0" borderId="0" applyFill="0" applyBorder="0" applyAlignment="0">
      <protection/>
    </xf>
    <xf numFmtId="229" fontId="0" fillId="0" borderId="0" applyFill="0" applyBorder="0" applyAlignment="0">
      <protection/>
    </xf>
    <xf numFmtId="231" fontId="99" fillId="0" borderId="0" applyFill="0" applyBorder="0" applyAlignment="0">
      <protection/>
    </xf>
    <xf numFmtId="217" fontId="99" fillId="0" borderId="0" applyFill="0" applyBorder="0" applyAlignment="0">
      <protection/>
    </xf>
    <xf numFmtId="182" fontId="38" fillId="0" borderId="0" applyFill="0" applyBorder="0" applyAlignment="0">
      <protection/>
    </xf>
    <xf numFmtId="230" fontId="99" fillId="0" borderId="0" applyFill="0" applyBorder="0" applyAlignment="0">
      <protection/>
    </xf>
    <xf numFmtId="220" fontId="99" fillId="0" borderId="0" applyFill="0" applyBorder="0" applyAlignment="0">
      <protection/>
    </xf>
    <xf numFmtId="229" fontId="0" fillId="0" borderId="0" applyFill="0" applyBorder="0" applyAlignment="0">
      <protection/>
    </xf>
    <xf numFmtId="0" fontId="168" fillId="3" borderId="13" applyNumberFormat="0" applyAlignment="0" applyProtection="0"/>
    <xf numFmtId="0" fontId="25" fillId="13" borderId="14" applyNumberFormat="0" applyAlignment="0" applyProtection="0"/>
    <xf numFmtId="0" fontId="74" fillId="13" borderId="14" applyNumberFormat="0" applyAlignment="0" applyProtection="0"/>
    <xf numFmtId="0" fontId="25" fillId="13" borderId="14" applyNumberFormat="0" applyAlignment="0" applyProtection="0"/>
    <xf numFmtId="3" fontId="47" fillId="0" borderId="1">
      <alignment/>
      <protection/>
    </xf>
    <xf numFmtId="0" fontId="169" fillId="37" borderId="15" applyNumberFormat="0" applyAlignment="0" applyProtection="0"/>
    <xf numFmtId="0" fontId="26" fillId="38" borderId="16" applyNumberFormat="0" applyAlignment="0" applyProtection="0"/>
    <xf numFmtId="0" fontId="64" fillId="38" borderId="16" applyNumberFormat="0" applyAlignment="0" applyProtection="0"/>
    <xf numFmtId="0" fontId="26" fillId="38" borderId="16" applyNumberFormat="0" applyAlignment="0" applyProtection="0"/>
    <xf numFmtId="0" fontId="100" fillId="14" borderId="0" applyNumberFormat="0">
      <alignment horizontal="center"/>
      <protection/>
    </xf>
    <xf numFmtId="43" fontId="0" fillId="0" borderId="0" applyFont="0" applyFill="0" applyBorder="0" applyAlignment="0" applyProtection="0"/>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37" fontId="0" fillId="0" borderId="0" applyFont="0" applyFill="0" applyBorder="0" applyAlignment="0" applyProtection="0"/>
    <xf numFmtId="174" fontId="4" fillId="0" borderId="0" applyFont="0" applyFill="0" applyBorder="0" applyAlignment="0" applyProtection="0"/>
    <xf numFmtId="41" fontId="0" fillId="0" borderId="0" applyFont="0" applyFill="0" applyBorder="0" applyAlignment="0" applyProtection="0"/>
    <xf numFmtId="38" fontId="39" fillId="0" borderId="0" applyFont="0" applyFill="0" applyBorder="0" applyAlignment="0" applyProtection="0"/>
    <xf numFmtId="38" fontId="150" fillId="0" borderId="0" applyFont="0" applyFill="0" applyBorder="0" applyAlignment="0" applyProtection="0"/>
    <xf numFmtId="230" fontId="99" fillId="0" borderId="0" applyFont="0" applyFill="0" applyBorder="0" applyAlignment="0" applyProtection="0"/>
    <xf numFmtId="174" fontId="4" fillId="0" borderId="0" applyFont="0" applyFill="0" applyBorder="0" applyAlignment="0" applyProtection="0"/>
    <xf numFmtId="39" fontId="4" fillId="0" borderId="0" applyFont="0" applyFill="0" applyBorder="0" applyAlignment="0" applyProtection="0"/>
    <xf numFmtId="180" fontId="4"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37" fontId="101" fillId="0" borderId="0" applyFont="0" applyFill="0" applyBorder="0" applyAlignment="0" applyProtection="0"/>
    <xf numFmtId="39" fontId="101"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41" fontId="95" fillId="0" borderId="17">
      <alignment horizontal="center"/>
      <protection hidden="1" locked="0"/>
    </xf>
    <xf numFmtId="41" fontId="95" fillId="0" borderId="18">
      <alignment horizontal="center"/>
      <protection locked="0"/>
    </xf>
    <xf numFmtId="41" fontId="103" fillId="0" borderId="6">
      <alignment/>
      <protection hidden="1"/>
    </xf>
    <xf numFmtId="41" fontId="104" fillId="0" borderId="6">
      <alignment/>
      <protection/>
    </xf>
    <xf numFmtId="41" fontId="95" fillId="0" borderId="6">
      <alignment horizontal="right"/>
      <protection/>
    </xf>
    <xf numFmtId="231" fontId="99" fillId="0" borderId="0">
      <alignment horizontal="center"/>
      <protection/>
    </xf>
    <xf numFmtId="0" fontId="105" fillId="0" borderId="0" applyNumberFormat="0" applyAlignment="0">
      <protection/>
    </xf>
    <xf numFmtId="6" fontId="47" fillId="0" borderId="0" applyFont="0" applyFill="0" applyBorder="0" applyAlignment="0" applyProtection="0"/>
    <xf numFmtId="44" fontId="0" fillId="0" borderId="0" applyFont="0" applyFill="0" applyBorder="0" applyAlignment="0" applyProtection="0"/>
    <xf numFmtId="5" fontId="4" fillId="0" borderId="0" applyFont="0" applyFill="0" applyBorder="0" applyAlignment="0" applyProtection="0"/>
    <xf numFmtId="284" fontId="4" fillId="0" borderId="0" applyFont="0" applyFill="0" applyBorder="0" applyAlignment="0" applyProtection="0"/>
    <xf numFmtId="283" fontId="0" fillId="0" borderId="0" applyFont="0" applyFill="0" applyBorder="0" applyAlignment="0" applyProtection="0"/>
    <xf numFmtId="310" fontId="0" fillId="0" borderId="0" applyFont="0" applyFill="0" applyBorder="0" applyAlignment="0" applyProtection="0"/>
    <xf numFmtId="42" fontId="0" fillId="0" borderId="0" applyFont="0" applyFill="0" applyBorder="0" applyAlignment="0" applyProtection="0"/>
    <xf numFmtId="229" fontId="0" fillId="0" borderId="0" applyFont="0" applyFill="0" applyBorder="0" applyAlignment="0" applyProtection="0"/>
    <xf numFmtId="260" fontId="4"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213" fontId="101" fillId="0" borderId="0" applyFont="0" applyFill="0" applyBorder="0" applyAlignment="0" applyProtection="0"/>
    <xf numFmtId="214" fontId="101" fillId="0" borderId="0" applyFont="0" applyFill="0" applyBorder="0" applyAlignment="0" applyProtection="0"/>
    <xf numFmtId="211" fontId="101" fillId="0" borderId="0" applyFont="0" applyFill="0" applyBorder="0" applyAlignment="0" applyProtection="0"/>
    <xf numFmtId="306" fontId="101" fillId="0" borderId="0" applyFont="0" applyFill="0" applyBorder="0" applyAlignment="0" applyProtection="0"/>
    <xf numFmtId="44" fontId="103" fillId="0" borderId="6">
      <alignment horizontal="center"/>
      <protection hidden="1"/>
    </xf>
    <xf numFmtId="39" fontId="91" fillId="0" borderId="0">
      <alignment horizontal="right"/>
      <protection/>
    </xf>
    <xf numFmtId="0" fontId="38" fillId="0" borderId="0" applyFont="0" applyFill="0" applyBorder="0" applyAlignment="0" applyProtection="0"/>
    <xf numFmtId="311" fontId="38" fillId="0" borderId="0" applyFont="0" applyFill="0" applyBorder="0" applyAlignment="0" applyProtection="0"/>
    <xf numFmtId="221" fontId="10" fillId="0" borderId="0" applyFont="0" applyFill="0" applyBorder="0" applyProtection="0">
      <alignment horizontal="right"/>
    </xf>
    <xf numFmtId="14" fontId="4" fillId="0" borderId="0" applyFont="0" applyFill="0" applyBorder="0" applyAlignment="0" applyProtection="0"/>
    <xf numFmtId="263" fontId="4" fillId="0" borderId="0" applyFont="0" applyFill="0" applyBorder="0" applyAlignment="0" applyProtection="0"/>
    <xf numFmtId="264" fontId="4" fillId="0" borderId="0" applyFont="0" applyFill="0" applyBorder="0" applyAlignment="0" applyProtection="0"/>
    <xf numFmtId="265" fontId="4" fillId="0" borderId="0" applyFont="0" applyFill="0" applyBorder="0" applyAlignment="0" applyProtection="0"/>
    <xf numFmtId="266" fontId="0" fillId="0" borderId="0" applyFont="0" applyFill="0" applyBorder="0" applyAlignment="0" applyProtection="0"/>
    <xf numFmtId="235" fontId="0" fillId="0" borderId="19" applyFont="0" applyFill="0" applyBorder="0" applyAlignment="0" applyProtection="0"/>
    <xf numFmtId="300" fontId="34" fillId="0" borderId="0" applyFill="0" applyProtection="0">
      <alignment vertical="center"/>
    </xf>
    <xf numFmtId="267" fontId="0" fillId="0" borderId="0">
      <alignment/>
      <protection/>
    </xf>
    <xf numFmtId="0" fontId="38" fillId="0" borderId="0">
      <alignment horizontal="left"/>
      <protection/>
    </xf>
    <xf numFmtId="185" fontId="106" fillId="0" borderId="0" applyFont="0" applyFill="0" applyBorder="0" applyAlignment="0" applyProtection="0"/>
    <xf numFmtId="0" fontId="107" fillId="0" borderId="0" applyNumberFormat="0" applyAlignment="0">
      <protection/>
    </xf>
    <xf numFmtId="0" fontId="18" fillId="0" borderId="0">
      <alignment horizontal="left"/>
      <protection/>
    </xf>
    <xf numFmtId="239" fontId="0" fillId="0" borderId="0" applyFont="0" applyFill="0" applyBorder="0" applyAlignment="0" applyProtection="0"/>
    <xf numFmtId="0" fontId="0" fillId="0" borderId="20" applyNumberFormat="0" applyFont="0" applyFill="0" applyBorder="0" applyAlignment="0" applyProtection="0"/>
    <xf numFmtId="0" fontId="170" fillId="0" borderId="0" applyNumberForma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18" fillId="0" borderId="0" applyFill="0" applyBorder="0">
      <alignment horizontal="left" vertical="top"/>
      <protection/>
    </xf>
    <xf numFmtId="172" fontId="91" fillId="0" borderId="0" applyBorder="0">
      <alignment/>
      <protection/>
    </xf>
    <xf numFmtId="0" fontId="49" fillId="0" borderId="0">
      <alignment/>
      <protection locked="0"/>
    </xf>
    <xf numFmtId="0" fontId="49" fillId="0" borderId="0">
      <alignment/>
      <protection locked="0"/>
    </xf>
    <xf numFmtId="0" fontId="50"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50" fillId="0" borderId="0">
      <alignment/>
      <protection locked="0"/>
    </xf>
    <xf numFmtId="0" fontId="13" fillId="0" borderId="0" applyNumberFormat="0" applyFill="0" applyBorder="0" applyAlignment="0" applyProtection="0"/>
    <xf numFmtId="268" fontId="4" fillId="0" borderId="0" applyFont="0" applyFill="0" applyBorder="0" applyAlignment="0" applyProtection="0"/>
    <xf numFmtId="269" fontId="4" fillId="0" borderId="0" applyFont="0" applyFill="0" applyBorder="0" applyAlignment="0" applyProtection="0"/>
    <xf numFmtId="270" fontId="4" fillId="0" borderId="0" applyFont="0" applyFill="0" applyBorder="0" applyAlignment="0" applyProtection="0"/>
    <xf numFmtId="0" fontId="171" fillId="39"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28" fillId="8" borderId="0" applyNumberFormat="0" applyBorder="0" applyAlignment="0" applyProtection="0"/>
    <xf numFmtId="0" fontId="108" fillId="0" borderId="0">
      <alignment horizontal="left" indent="2"/>
      <protection/>
    </xf>
    <xf numFmtId="38" fontId="1" fillId="13" borderId="0" applyNumberFormat="0" applyBorder="0" applyAlignment="0" applyProtection="0"/>
    <xf numFmtId="38" fontId="1" fillId="13"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51" fillId="0" borderId="21" applyNumberFormat="0" applyAlignment="0" applyProtection="0"/>
    <xf numFmtId="0" fontId="51" fillId="0" borderId="22">
      <alignment horizontal="left" vertical="center"/>
      <protection/>
    </xf>
    <xf numFmtId="0" fontId="113" fillId="0" borderId="0">
      <alignment horizontal="center"/>
      <protection/>
    </xf>
    <xf numFmtId="0" fontId="156" fillId="0" borderId="23" applyNumberFormat="0" applyFill="0" applyAlignment="0" applyProtection="0"/>
    <xf numFmtId="0" fontId="58" fillId="0" borderId="24" applyNumberFormat="0" applyFill="0" applyAlignment="0" applyProtection="0"/>
    <xf numFmtId="0" fontId="71" fillId="0" borderId="24" applyNumberFormat="0" applyFill="0" applyAlignment="0" applyProtection="0"/>
    <xf numFmtId="0" fontId="58" fillId="0" borderId="24" applyNumberFormat="0" applyFill="0" applyAlignment="0" applyProtection="0"/>
    <xf numFmtId="0" fontId="161" fillId="0" borderId="25" applyNumberFormat="0" applyFill="0" applyAlignment="0" applyProtection="0"/>
    <xf numFmtId="0" fontId="59" fillId="0" borderId="26" applyNumberFormat="0" applyFill="0" applyAlignment="0" applyProtection="0"/>
    <xf numFmtId="0" fontId="72" fillId="0" borderId="26" applyNumberFormat="0" applyFill="0" applyAlignment="0" applyProtection="0"/>
    <xf numFmtId="0" fontId="59" fillId="0" borderId="26" applyNumberFormat="0" applyFill="0" applyAlignment="0" applyProtection="0"/>
    <xf numFmtId="0" fontId="157" fillId="0" borderId="27" applyNumberFormat="0" applyFill="0" applyAlignment="0" applyProtection="0"/>
    <xf numFmtId="0" fontId="60" fillId="0" borderId="28" applyNumberFormat="0" applyFill="0" applyAlignment="0" applyProtection="0"/>
    <xf numFmtId="0" fontId="73" fillId="0" borderId="28" applyNumberFormat="0" applyFill="0" applyAlignment="0" applyProtection="0"/>
    <xf numFmtId="0" fontId="60" fillId="0" borderId="28" applyNumberFormat="0" applyFill="0" applyAlignment="0" applyProtection="0"/>
    <xf numFmtId="0" fontId="157" fillId="0" borderId="0" applyNumberFormat="0" applyFill="0" applyBorder="0" applyAlignment="0" applyProtection="0"/>
    <xf numFmtId="0" fontId="60" fillId="0" borderId="0" applyNumberFormat="0" applyFill="0" applyBorder="0" applyAlignment="0" applyProtection="0"/>
    <xf numFmtId="0" fontId="73" fillId="0" borderId="0" applyNumberFormat="0" applyFill="0" applyBorder="0" applyAlignment="0" applyProtection="0"/>
    <xf numFmtId="0" fontId="60" fillId="0" borderId="0" applyNumberFormat="0" applyFill="0" applyBorder="0" applyAlignment="0" applyProtection="0"/>
    <xf numFmtId="0" fontId="0" fillId="14" borderId="29" applyNumberFormat="0" applyFont="0" applyBorder="0" applyAlignment="0" applyProtection="0"/>
    <xf numFmtId="249" fontId="0" fillId="0" borderId="0" applyFont="0" applyFill="0" applyBorder="0" applyAlignment="0" applyProtection="0"/>
    <xf numFmtId="0" fontId="2" fillId="0" borderId="0" applyNumberFormat="0" applyFill="0" applyBorder="0" applyAlignment="0" applyProtection="0"/>
    <xf numFmtId="37" fontId="91" fillId="0" borderId="0" applyBorder="0">
      <alignment/>
      <protection/>
    </xf>
    <xf numFmtId="0" fontId="3" fillId="0" borderId="30">
      <alignment vertical="top"/>
      <protection/>
    </xf>
    <xf numFmtId="0" fontId="172" fillId="40" borderId="13" applyNumberFormat="0" applyAlignment="0" applyProtection="0"/>
    <xf numFmtId="10" fontId="1" fillId="7" borderId="1" applyNumberFormat="0" applyBorder="0" applyAlignment="0" applyProtection="0"/>
    <xf numFmtId="10" fontId="1" fillId="7" borderId="1" applyNumberFormat="0" applyBorder="0" applyAlignment="0" applyProtection="0"/>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152"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92" fillId="0" borderId="0" applyNumberFormat="0" applyFill="0" applyBorder="0" applyAlignment="0">
      <protection locked="0"/>
    </xf>
    <xf numFmtId="0" fontId="0" fillId="0" borderId="17">
      <alignment/>
      <protection/>
    </xf>
    <xf numFmtId="0" fontId="173" fillId="0" borderId="31" applyNumberFormat="0" applyFill="0" applyAlignment="0" applyProtection="0"/>
    <xf numFmtId="0" fontId="29" fillId="0" borderId="32" applyNumberFormat="0" applyFill="0" applyAlignment="0" applyProtection="0"/>
    <xf numFmtId="0" fontId="66" fillId="0" borderId="32" applyNumberFormat="0" applyFill="0" applyAlignment="0" applyProtection="0"/>
    <xf numFmtId="0" fontId="29" fillId="0" borderId="32" applyNumberFormat="0" applyFill="0" applyAlignment="0" applyProtection="0"/>
    <xf numFmtId="299" fontId="91" fillId="0" borderId="0">
      <alignment/>
      <protection/>
    </xf>
    <xf numFmtId="38" fontId="4" fillId="0" borderId="0">
      <alignment/>
      <protection/>
    </xf>
    <xf numFmtId="38" fontId="3" fillId="1" borderId="5">
      <alignment/>
      <protection/>
    </xf>
    <xf numFmtId="280" fontId="0" fillId="0" borderId="0" applyFont="0" applyFill="0" applyBorder="0" applyAlignment="0" applyProtection="0"/>
    <xf numFmtId="282" fontId="0" fillId="0" borderId="0" applyFont="0" applyFill="0" applyBorder="0" applyAlignment="0" applyProtection="0"/>
    <xf numFmtId="225" fontId="0" fillId="0" borderId="0" applyFont="0" applyFill="0" applyBorder="0" applyAlignment="0" applyProtection="0"/>
    <xf numFmtId="227" fontId="0" fillId="0" borderId="0" applyFont="0" applyFill="0" applyBorder="0" applyAlignment="0" applyProtection="0"/>
    <xf numFmtId="279" fontId="0" fillId="0" borderId="0" applyFont="0" applyFill="0" applyBorder="0" applyAlignment="0" applyProtection="0"/>
    <xf numFmtId="281" fontId="0" fillId="0" borderId="0" applyFont="0" applyFill="0" applyBorder="0" applyAlignment="0" applyProtection="0"/>
    <xf numFmtId="224" fontId="0" fillId="0" borderId="0" applyFont="0" applyFill="0" applyBorder="0" applyAlignment="0" applyProtection="0"/>
    <xf numFmtId="226" fontId="0" fillId="0" borderId="0" applyFont="0" applyFill="0" applyBorder="0" applyAlignment="0" applyProtection="0"/>
    <xf numFmtId="222" fontId="114" fillId="0" borderId="0" applyFont="0" applyFill="0" applyBorder="0" applyProtection="0">
      <alignment horizontal="right"/>
    </xf>
    <xf numFmtId="286" fontId="10" fillId="0" borderId="0" applyFont="0" applyFill="0" applyBorder="0" applyAlignment="0" applyProtection="0"/>
    <xf numFmtId="287" fontId="38" fillId="0" borderId="0" applyFont="0" applyFill="0" applyBorder="0" applyAlignment="0" applyProtection="0"/>
    <xf numFmtId="285" fontId="10" fillId="0" borderId="0" applyFont="0" applyFill="0" applyBorder="0" applyAlignment="0" applyProtection="0"/>
    <xf numFmtId="0" fontId="174" fillId="5" borderId="0" applyNumberFormat="0" applyBorder="0" applyAlignment="0" applyProtection="0"/>
    <xf numFmtId="0" fontId="30" fillId="2" borderId="0" applyNumberFormat="0" applyBorder="0" applyAlignment="0" applyProtection="0"/>
    <xf numFmtId="0" fontId="65" fillId="2" borderId="0" applyNumberFormat="0" applyBorder="0" applyAlignment="0" applyProtection="0"/>
    <xf numFmtId="0" fontId="30" fillId="2" borderId="0" applyNumberFormat="0" applyBorder="0" applyAlignment="0" applyProtection="0"/>
    <xf numFmtId="203" fontId="0" fillId="0" borderId="0" applyFont="0" applyFill="0" applyBorder="0" applyAlignment="0" applyProtection="0"/>
    <xf numFmtId="203" fontId="0" fillId="0" borderId="0" applyFont="0" applyFill="0" applyBorder="0" applyAlignment="0" applyProtection="0"/>
    <xf numFmtId="204" fontId="52" fillId="0" borderId="33">
      <alignment horizontal="left"/>
      <protection/>
    </xf>
    <xf numFmtId="210" fontId="0" fillId="0" borderId="0" applyFont="0" applyFill="0" applyBorder="0" applyAlignment="0" applyProtection="0"/>
    <xf numFmtId="37" fontId="115" fillId="0" borderId="0">
      <alignment/>
      <protection/>
    </xf>
    <xf numFmtId="37" fontId="116" fillId="0" borderId="1">
      <alignment/>
      <protection/>
    </xf>
    <xf numFmtId="196" fontId="4" fillId="0" borderId="0">
      <alignment/>
      <protection/>
    </xf>
    <xf numFmtId="171" fontId="0" fillId="0" borderId="0">
      <alignment/>
      <protection/>
    </xf>
    <xf numFmtId="0" fontId="175" fillId="0" borderId="0">
      <alignment/>
      <protection/>
    </xf>
    <xf numFmtId="0" fontId="0"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5" fillId="0" borderId="0">
      <alignment/>
      <protection/>
    </xf>
    <xf numFmtId="0" fontId="165"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1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5"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0" fillId="0" borderId="0">
      <alignment/>
      <protection/>
    </xf>
    <xf numFmtId="0" fontId="0" fillId="0" borderId="0">
      <alignment/>
      <protection/>
    </xf>
    <xf numFmtId="0" fontId="1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14" borderId="34">
      <alignment/>
      <protection/>
    </xf>
    <xf numFmtId="17" fontId="103" fillId="0" borderId="18">
      <alignment horizontal="center"/>
      <protection/>
    </xf>
    <xf numFmtId="0" fontId="97" fillId="0" borderId="18">
      <alignment/>
      <protection/>
    </xf>
    <xf numFmtId="0" fontId="0" fillId="0" borderId="0">
      <alignment/>
      <protection/>
    </xf>
    <xf numFmtId="3" fontId="95" fillId="0" borderId="35">
      <alignment/>
      <protection locked="0"/>
    </xf>
    <xf numFmtId="9" fontId="95" fillId="0" borderId="35">
      <alignment/>
      <protection/>
    </xf>
    <xf numFmtId="0" fontId="4" fillId="0" borderId="0">
      <alignment/>
      <protection/>
    </xf>
    <xf numFmtId="0" fontId="0" fillId="41" borderId="36" applyNumberFormat="0" applyFont="0" applyAlignment="0" applyProtection="0"/>
    <xf numFmtId="0" fontId="61" fillId="7" borderId="37" applyNumberFormat="0" applyFont="0" applyAlignment="0" applyProtection="0"/>
    <xf numFmtId="0" fontId="39" fillId="7" borderId="37" applyNumberFormat="0" applyFont="0" applyAlignment="0" applyProtection="0"/>
    <xf numFmtId="0" fontId="61" fillId="7" borderId="37" applyNumberFormat="0" applyFont="0" applyAlignment="0" applyProtection="0"/>
    <xf numFmtId="3" fontId="117" fillId="0" borderId="38">
      <alignment/>
      <protection/>
    </xf>
    <xf numFmtId="3" fontId="39" fillId="0" borderId="39">
      <alignment/>
      <protection/>
    </xf>
    <xf numFmtId="0" fontId="39" fillId="0" borderId="1">
      <alignment/>
      <protection/>
    </xf>
    <xf numFmtId="0" fontId="0" fillId="0" borderId="20" applyNumberFormat="0" applyFont="0" applyFill="0" applyBorder="0" applyAlignment="0" applyProtection="0"/>
    <xf numFmtId="43" fontId="88" fillId="0" borderId="0" applyFont="0" applyFill="0" applyBorder="0" applyAlignment="0" applyProtection="0"/>
    <xf numFmtId="41" fontId="0" fillId="0" borderId="0" applyFont="0" applyFill="0" applyBorder="0" applyAlignment="0" applyProtection="0"/>
    <xf numFmtId="0" fontId="96" fillId="0" borderId="40">
      <alignment horizontal="left" wrapText="1"/>
      <protection/>
    </xf>
    <xf numFmtId="0" fontId="176" fillId="3" borderId="41" applyNumberFormat="0" applyAlignment="0" applyProtection="0"/>
    <xf numFmtId="0" fontId="31" fillId="13" borderId="42" applyNumberFormat="0" applyAlignment="0" applyProtection="0"/>
    <xf numFmtId="0" fontId="68" fillId="13" borderId="42" applyNumberFormat="0" applyAlignment="0" applyProtection="0"/>
    <xf numFmtId="0" fontId="31" fillId="13" borderId="42" applyNumberFormat="0" applyAlignment="0" applyProtection="0"/>
    <xf numFmtId="0" fontId="0" fillId="0" borderId="43" applyNumberFormat="0" applyFont="0" applyFill="0" applyBorder="0" applyAlignment="0" applyProtection="0"/>
    <xf numFmtId="0" fontId="0" fillId="0" borderId="44" applyNumberFormat="0" applyFont="0" applyFill="0" applyAlignment="0" applyProtection="0"/>
    <xf numFmtId="301" fontId="91" fillId="0" borderId="9" applyBorder="0">
      <alignment/>
      <protection/>
    </xf>
    <xf numFmtId="0" fontId="118" fillId="0" borderId="0" applyFill="0" applyBorder="0" applyProtection="0">
      <alignment horizontal="left"/>
    </xf>
    <xf numFmtId="0" fontId="119" fillId="0" borderId="0" applyFill="0" applyBorder="0" applyProtection="0">
      <alignment horizontal="left"/>
    </xf>
    <xf numFmtId="9" fontId="0" fillId="0" borderId="0" applyFont="0" applyFill="0" applyBorder="0" applyAlignment="0" applyProtection="0"/>
    <xf numFmtId="172" fontId="4" fillId="0" borderId="0" applyFont="0" applyFill="0" applyBorder="0" applyAlignment="0" applyProtection="0"/>
    <xf numFmtId="10" fontId="4" fillId="0" borderId="0" applyFont="0" applyFill="0" applyBorder="0" applyAlignment="0" applyProtection="0"/>
    <xf numFmtId="9" fontId="38" fillId="0" borderId="0" applyFont="0" applyFill="0" applyBorder="0" applyAlignment="0" applyProtection="0"/>
    <xf numFmtId="271" fontId="4"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272"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23" fontId="10" fillId="0" borderId="0" applyFont="0" applyFill="0" applyBorder="0" applyProtection="0">
      <alignment horizontal="right"/>
    </xf>
    <xf numFmtId="9" fontId="103" fillId="0" borderId="6">
      <alignment horizontal="center"/>
      <protection/>
    </xf>
    <xf numFmtId="9" fontId="101" fillId="0" borderId="0" applyFont="0" applyFill="0" applyBorder="0" applyAlignment="0" applyProtection="0"/>
    <xf numFmtId="10" fontId="101" fillId="0" borderId="0" applyFont="0" applyFill="0" applyBorder="0" applyAlignment="0" applyProtection="0"/>
    <xf numFmtId="9" fontId="103" fillId="0" borderId="6">
      <alignment horizontal="right"/>
      <protection/>
    </xf>
    <xf numFmtId="4" fontId="18" fillId="0" borderId="0">
      <alignment horizontal="right"/>
      <protection/>
    </xf>
    <xf numFmtId="0" fontId="47" fillId="0" borderId="0" applyNumberFormat="0" applyFont="0" applyFill="0" applyBorder="0" applyAlignment="0" applyProtection="0"/>
    <xf numFmtId="0" fontId="47" fillId="0" borderId="0" applyNumberFormat="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0" fontId="120" fillId="0" borderId="9">
      <alignment horizontal="center"/>
      <protection/>
    </xf>
    <xf numFmtId="3" fontId="47" fillId="0" borderId="0" applyFont="0" applyFill="0" applyBorder="0" applyAlignment="0" applyProtection="0"/>
    <xf numFmtId="3" fontId="47" fillId="0" borderId="0" applyFont="0" applyFill="0" applyBorder="0" applyAlignment="0" applyProtection="0"/>
    <xf numFmtId="0" fontId="47" fillId="42" borderId="0" applyNumberFormat="0" applyFont="0" applyBorder="0" applyAlignment="0" applyProtection="0"/>
    <xf numFmtId="0" fontId="47" fillId="42" borderId="0" applyNumberFormat="0" applyFon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 fontId="121" fillId="0" borderId="0">
      <alignment horizontal="right"/>
      <protection/>
    </xf>
    <xf numFmtId="187" fontId="122" fillId="0" borderId="0" applyNumberFormat="0" applyFill="0" applyBorder="0" applyAlignment="0" applyProtection="0"/>
    <xf numFmtId="0" fontId="7" fillId="0" borderId="0">
      <alignment horizontal="left"/>
      <protection/>
    </xf>
    <xf numFmtId="0" fontId="4" fillId="43" borderId="0" applyNumberFormat="0" applyFont="0" applyBorder="0" applyAlignment="0" applyProtection="0"/>
    <xf numFmtId="0" fontId="0" fillId="14" borderId="0" applyNumberFormat="0" applyBorder="0" applyProtection="0">
      <alignment horizontal="center"/>
    </xf>
    <xf numFmtId="0" fontId="47" fillId="0" borderId="0">
      <alignment/>
      <protection/>
    </xf>
    <xf numFmtId="0" fontId="36" fillId="0" borderId="0" applyFont="0" applyFill="0" applyBorder="0" applyAlignment="0" applyProtection="0"/>
    <xf numFmtId="0" fontId="36" fillId="0" borderId="0" applyFont="0" applyFill="0" applyBorder="0" applyAlignment="0" applyProtection="0"/>
    <xf numFmtId="0" fontId="123" fillId="0" borderId="0">
      <alignment/>
      <protection/>
    </xf>
    <xf numFmtId="0" fontId="124" fillId="0" borderId="0">
      <alignment horizontal="left"/>
      <protection/>
    </xf>
    <xf numFmtId="38" fontId="4" fillId="0" borderId="45">
      <alignment/>
      <protection/>
    </xf>
    <xf numFmtId="40" fontId="153" fillId="0" borderId="0" applyBorder="0">
      <alignment horizontal="right"/>
      <protection/>
    </xf>
    <xf numFmtId="49" fontId="91" fillId="0" borderId="0">
      <alignment/>
      <protection/>
    </xf>
    <xf numFmtId="0" fontId="125" fillId="3" borderId="0">
      <alignment horizontal="centerContinuous"/>
      <protection locked="0"/>
    </xf>
    <xf numFmtId="0" fontId="35" fillId="0" borderId="0" applyFill="0" applyBorder="0" applyProtection="0">
      <alignment horizontal="center" vertical="center"/>
    </xf>
    <xf numFmtId="0" fontId="35" fillId="0" borderId="0" applyFill="0" applyBorder="0" applyProtection="0">
      <alignment/>
    </xf>
    <xf numFmtId="0" fontId="16" fillId="0" borderId="0" applyFill="0" applyBorder="0" applyProtection="0">
      <alignment horizontal="left"/>
    </xf>
    <xf numFmtId="0" fontId="126" fillId="0" borderId="0" applyFill="0" applyBorder="0" applyProtection="0">
      <alignment horizontal="left" vertical="top"/>
    </xf>
    <xf numFmtId="0" fontId="127" fillId="0" borderId="0" applyNumberFormat="0" applyFill="0" applyBorder="0">
      <alignment/>
      <protection/>
    </xf>
    <xf numFmtId="252" fontId="0" fillId="0" borderId="0" applyFont="0" applyFill="0" applyBorder="0" applyAlignment="0" applyProtection="0"/>
    <xf numFmtId="252" fontId="0" fillId="0" borderId="0" applyFont="0" applyFill="0" applyBorder="0" applyAlignment="0" applyProtection="0"/>
    <xf numFmtId="263" fontId="0" fillId="0" borderId="0" applyFont="0" applyFill="0" applyBorder="0" applyAlignment="0" applyProtection="0"/>
    <xf numFmtId="18" fontId="91" fillId="0" borderId="0" applyFill="0" applyProtection="0">
      <alignment horizontal="center"/>
    </xf>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40" fontId="128" fillId="0" borderId="0">
      <alignment/>
      <protection/>
    </xf>
    <xf numFmtId="0" fontId="15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54" fillId="0" borderId="0">
      <alignment horizontal="center"/>
      <protection/>
    </xf>
    <xf numFmtId="0" fontId="62" fillId="0" borderId="0" applyNumberFormat="0" applyFill="0" applyBorder="0" applyAlignment="0" applyProtection="0"/>
    <xf numFmtId="0" fontId="129" fillId="0" borderId="0">
      <alignment horizontal="center"/>
      <protection/>
    </xf>
    <xf numFmtId="0" fontId="108" fillId="0" borderId="0">
      <alignment horizontal="center"/>
      <protection/>
    </xf>
    <xf numFmtId="44" fontId="103" fillId="0" borderId="6">
      <alignment/>
      <protection/>
    </xf>
    <xf numFmtId="0" fontId="177" fillId="0" borderId="46" applyNumberFormat="0" applyFill="0" applyAlignment="0" applyProtection="0"/>
    <xf numFmtId="0" fontId="32" fillId="0" borderId="47" applyNumberFormat="0" applyFill="0" applyAlignment="0" applyProtection="0"/>
    <xf numFmtId="0" fontId="77" fillId="0" borderId="47" applyNumberFormat="0" applyFill="0" applyAlignment="0" applyProtection="0"/>
    <xf numFmtId="0" fontId="32" fillId="0" borderId="47"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45" applyNumberFormat="0" applyFill="0" applyBorder="0" applyAlignment="0" applyProtection="0"/>
    <xf numFmtId="0" fontId="134" fillId="0" borderId="45" applyNumberFormat="0" applyFill="0" applyBorder="0" applyAlignment="0" applyProtection="0"/>
    <xf numFmtId="0" fontId="135" fillId="0" borderId="0">
      <alignment horizontal="left"/>
      <protection/>
    </xf>
    <xf numFmtId="0" fontId="91" fillId="0" borderId="0" applyNumberFormat="0" applyFill="0" applyBorder="0" applyAlignment="0" applyProtection="0"/>
    <xf numFmtId="44" fontId="136" fillId="0" borderId="6">
      <alignment/>
      <protection/>
    </xf>
    <xf numFmtId="37" fontId="103" fillId="0" borderId="6">
      <alignment/>
      <protection/>
    </xf>
    <xf numFmtId="0" fontId="0" fillId="14" borderId="0" applyNumberFormat="0" applyFont="0" applyBorder="0" applyAlignment="0" applyProtection="0"/>
    <xf numFmtId="0" fontId="137" fillId="0" borderId="0" applyAlignment="0">
      <protection/>
    </xf>
    <xf numFmtId="0" fontId="3" fillId="13" borderId="0">
      <alignment vertical="top"/>
      <protection/>
    </xf>
    <xf numFmtId="0" fontId="0" fillId="0" borderId="9" applyNumberFormat="0" applyFont="0" applyFill="0" applyAlignment="0" applyProtection="0"/>
    <xf numFmtId="0" fontId="16" fillId="13" borderId="0">
      <alignment horizontal="center"/>
      <protection/>
    </xf>
    <xf numFmtId="0" fontId="178"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215" fontId="6" fillId="0" borderId="0" applyFont="0" applyFill="0" applyBorder="0" applyAlignment="0" applyProtection="0"/>
    <xf numFmtId="221" fontId="10" fillId="0" borderId="0" applyFont="0" applyFill="0" applyBorder="0" applyProtection="0">
      <alignment horizontal="right"/>
    </xf>
    <xf numFmtId="276" fontId="79" fillId="0" borderId="0">
      <alignment horizontal="right"/>
      <protection/>
    </xf>
    <xf numFmtId="0" fontId="56" fillId="26" borderId="0" applyNumberFormat="0" applyBorder="0" applyAlignment="0" applyProtection="0"/>
    <xf numFmtId="0" fontId="56" fillId="28"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34" borderId="0" applyNumberFormat="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36" fillId="0" borderId="0" applyFont="0" applyFill="0" applyBorder="0" applyAlignment="0" applyProtection="0"/>
    <xf numFmtId="0" fontId="63" fillId="0" borderId="0" applyNumberFormat="0" applyFill="0" applyBorder="0" applyAlignment="0" applyProtection="0"/>
    <xf numFmtId="0" fontId="64" fillId="38" borderId="16" applyNumberFormat="0" applyAlignment="0" applyProtection="0"/>
    <xf numFmtId="0" fontId="65" fillId="2"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302" fontId="36" fillId="0" borderId="0" applyFont="0" applyFill="0" applyBorder="0" applyAlignment="0" applyProtection="0"/>
    <xf numFmtId="303" fontId="36" fillId="0" borderId="0" applyFont="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312" fontId="36" fillId="0" borderId="0" applyFont="0" applyFill="0" applyBorder="0" applyAlignment="0" applyProtection="0"/>
    <xf numFmtId="38" fontId="80" fillId="0" borderId="0" applyFill="0" applyBorder="0" applyProtection="0">
      <alignment/>
    </xf>
    <xf numFmtId="0" fontId="39" fillId="0" borderId="0" applyNumberFormat="0" applyBorder="0" applyAlignment="0">
      <protection/>
    </xf>
    <xf numFmtId="0" fontId="0" fillId="7" borderId="37" applyNumberFormat="0" applyFont="0" applyAlignment="0" applyProtection="0"/>
    <xf numFmtId="0" fontId="66" fillId="0" borderId="32" applyNumberFormat="0" applyFill="0" applyAlignment="0" applyProtection="0"/>
    <xf numFmtId="0" fontId="141" fillId="0" borderId="0">
      <alignment/>
      <protection/>
    </xf>
    <xf numFmtId="0" fontId="141" fillId="0" borderId="0">
      <alignment/>
      <protection/>
    </xf>
    <xf numFmtId="0" fontId="0" fillId="0" borderId="0">
      <alignment/>
      <protection/>
    </xf>
    <xf numFmtId="0" fontId="139" fillId="0" borderId="0">
      <alignment/>
      <protection/>
    </xf>
    <xf numFmtId="0" fontId="140" fillId="0" borderId="0">
      <alignment vertical="top"/>
      <protection/>
    </xf>
    <xf numFmtId="0" fontId="39" fillId="0" borderId="48">
      <alignment/>
      <protection/>
    </xf>
    <xf numFmtId="0" fontId="67" fillId="5" borderId="14" applyNumberFormat="0" applyAlignment="0" applyProtection="0"/>
    <xf numFmtId="0" fontId="68" fillId="13" borderId="42" applyNumberFormat="0" applyAlignment="0" applyProtection="0"/>
    <xf numFmtId="3" fontId="117" fillId="0" borderId="49" applyFill="0" applyProtection="0">
      <alignment/>
    </xf>
    <xf numFmtId="4" fontId="53" fillId="0" borderId="0" applyFont="0" applyFill="0" applyBorder="0" applyAlignment="0" applyProtection="0"/>
    <xf numFmtId="0" fontId="142" fillId="3" borderId="0">
      <alignment/>
      <protection/>
    </xf>
    <xf numFmtId="0" fontId="40" fillId="0" borderId="0">
      <alignment vertical="center"/>
      <protection/>
    </xf>
    <xf numFmtId="0" fontId="1" fillId="0" borderId="0" applyAlignment="0">
      <protection locked="0"/>
    </xf>
    <xf numFmtId="0" fontId="69" fillId="6" borderId="0" applyNumberFormat="0" applyBorder="0" applyAlignment="0" applyProtection="0"/>
    <xf numFmtId="0" fontId="143" fillId="0" borderId="0" applyNumberFormat="0" applyFont="0" applyFill="0" applyBorder="0">
      <alignment horizontal="left" vertical="top" wrapText="1"/>
      <protection/>
    </xf>
    <xf numFmtId="0" fontId="144" fillId="0" borderId="0">
      <alignment/>
      <protection/>
    </xf>
    <xf numFmtId="175" fontId="145" fillId="44" borderId="50" applyFont="0" applyFill="0" applyBorder="0">
      <alignment/>
      <protection/>
    </xf>
    <xf numFmtId="40" fontId="39" fillId="0" borderId="0" applyFont="0" applyFill="0" applyBorder="0" applyAlignment="0" applyProtection="0"/>
    <xf numFmtId="43" fontId="0" fillId="0" borderId="0" applyFont="0" applyFill="0" applyBorder="0" applyAlignment="0" applyProtection="0"/>
    <xf numFmtId="38" fontId="39" fillId="0" borderId="0" applyFont="0" applyFill="0" applyBorder="0" applyAlignment="0" applyProtection="0"/>
    <xf numFmtId="41" fontId="0" fillId="0" borderId="0" applyFont="0" applyFill="0" applyBorder="0" applyAlignment="0" applyProtection="0"/>
    <xf numFmtId="0" fontId="39" fillId="0" borderId="0">
      <alignment/>
      <protection/>
    </xf>
    <xf numFmtId="0" fontId="0" fillId="0" borderId="0">
      <alignment/>
      <protection/>
    </xf>
    <xf numFmtId="277" fontId="0" fillId="0" borderId="0">
      <alignment/>
      <protection/>
    </xf>
    <xf numFmtId="0" fontId="39" fillId="0" borderId="0">
      <alignment/>
      <protection/>
    </xf>
    <xf numFmtId="49" fontId="143" fillId="0" borderId="0">
      <alignment/>
      <protection/>
    </xf>
    <xf numFmtId="49" fontId="143" fillId="0" borderId="0" applyBorder="0">
      <alignment/>
      <protection/>
    </xf>
    <xf numFmtId="49" fontId="143" fillId="0" borderId="0" applyNumberFormat="0" applyFill="0" applyBorder="0" applyAlignment="0" applyProtection="0"/>
    <xf numFmtId="0" fontId="3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8" borderId="0" applyNumberFormat="0" applyBorder="0" applyAlignment="0" applyProtection="0"/>
    <xf numFmtId="0" fontId="57" fillId="0" borderId="0" applyNumberFormat="0" applyFill="0" applyBorder="0" applyAlignment="0" applyProtection="0"/>
    <xf numFmtId="0" fontId="71" fillId="0" borderId="24" applyNumberFormat="0" applyFill="0" applyAlignment="0" applyProtection="0"/>
    <xf numFmtId="0" fontId="72" fillId="0" borderId="26" applyNumberFormat="0" applyFill="0" applyAlignment="0" applyProtection="0"/>
    <xf numFmtId="0" fontId="73" fillId="0" borderId="28" applyNumberFormat="0" applyFill="0" applyAlignment="0" applyProtection="0"/>
    <xf numFmtId="0" fontId="73" fillId="0" borderId="0" applyNumberFormat="0" applyFill="0" applyBorder="0" applyAlignment="0" applyProtection="0"/>
    <xf numFmtId="0" fontId="146" fillId="0" borderId="0" applyFill="0" applyBorder="0" applyProtection="0">
      <alignment/>
    </xf>
    <xf numFmtId="0" fontId="74" fillId="13" borderId="1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278" fontId="4" fillId="0" borderId="0">
      <alignment/>
      <protection/>
    </xf>
    <xf numFmtId="41" fontId="0" fillId="0" borderId="0" applyFont="0" applyFill="0" applyBorder="0" applyAlignment="0" applyProtection="0"/>
    <xf numFmtId="0" fontId="54" fillId="0" borderId="0" applyNumberFormat="0" applyFill="0" applyBorder="0" applyAlignment="0" applyProtection="0"/>
    <xf numFmtId="0" fontId="77" fillId="0" borderId="47" applyNumberFormat="0" applyFill="0" applyAlignment="0" applyProtection="0"/>
    <xf numFmtId="0" fontId="88" fillId="3" borderId="0">
      <alignment/>
      <protection/>
    </xf>
    <xf numFmtId="0" fontId="74" fillId="3" borderId="14" applyNumberFormat="0" applyAlignment="0" applyProtection="0"/>
    <xf numFmtId="0" fontId="76" fillId="0" borderId="0" applyNumberFormat="0" applyFill="0" applyBorder="0" applyAlignment="0" applyProtection="0"/>
    <xf numFmtId="0" fontId="148" fillId="0" borderId="0">
      <alignment/>
      <protection/>
    </xf>
    <xf numFmtId="0" fontId="68" fillId="3" borderId="42" applyNumberFormat="0" applyAlignment="0" applyProtection="0"/>
    <xf numFmtId="0" fontId="149" fillId="0" borderId="0" applyNumberFormat="0" applyFill="0" applyBorder="0" applyAlignment="0" applyProtection="0"/>
    <xf numFmtId="0" fontId="40" fillId="0" borderId="0">
      <alignment vertical="center"/>
      <protection/>
    </xf>
    <xf numFmtId="0" fontId="150" fillId="0" borderId="0">
      <alignment vertical="center"/>
      <protection/>
    </xf>
    <xf numFmtId="0" fontId="155" fillId="0" borderId="0" applyNumberFormat="0" applyFill="0" applyBorder="0" applyAlignment="0" applyProtection="0"/>
    <xf numFmtId="0" fontId="149" fillId="0" borderId="0" applyNumberFormat="0" applyFill="0" applyBorder="0" applyAlignment="0" applyProtection="0"/>
    <xf numFmtId="0" fontId="39" fillId="0" borderId="0">
      <alignment vertical="center"/>
      <protection/>
    </xf>
    <xf numFmtId="0" fontId="150" fillId="0" borderId="0">
      <alignment vertical="center"/>
      <protection/>
    </xf>
    <xf numFmtId="0" fontId="65" fillId="2" borderId="0" applyNumberFormat="0" applyBorder="0" applyAlignment="0" applyProtection="0"/>
    <xf numFmtId="0" fontId="56" fillId="28" borderId="0" applyNumberFormat="0" applyBorder="0" applyAlignment="0" applyProtection="0"/>
    <xf numFmtId="0" fontId="150" fillId="0" borderId="0">
      <alignment vertical="center"/>
      <protection/>
    </xf>
    <xf numFmtId="0" fontId="150" fillId="0" borderId="0">
      <alignment/>
      <protection/>
    </xf>
    <xf numFmtId="0" fontId="39" fillId="0" borderId="0">
      <alignment vertical="center"/>
      <protection/>
    </xf>
    <xf numFmtId="0" fontId="148" fillId="0" borderId="0">
      <alignment/>
      <protection/>
    </xf>
    <xf numFmtId="0" fontId="39" fillId="0" borderId="0">
      <alignment/>
      <protection/>
    </xf>
    <xf numFmtId="0" fontId="39" fillId="0" borderId="0" applyFill="0">
      <alignment/>
      <protection/>
    </xf>
    <xf numFmtId="0" fontId="55" fillId="7" borderId="0" applyNumberFormat="0" applyBorder="0" applyAlignment="0" applyProtection="0"/>
    <xf numFmtId="0" fontId="55" fillId="16"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pplyFill="0">
      <alignment/>
      <protection/>
    </xf>
    <xf numFmtId="0" fontId="39" fillId="0" borderId="0">
      <alignment/>
      <protection/>
    </xf>
    <xf numFmtId="0" fontId="39" fillId="0" borderId="0" applyFill="0">
      <alignment/>
      <protection/>
    </xf>
    <xf numFmtId="0" fontId="39" fillId="0" borderId="0">
      <alignment/>
      <protection/>
    </xf>
    <xf numFmtId="0" fontId="147" fillId="0" borderId="0" applyNumberFormat="0" applyFill="0" applyBorder="0" applyAlignment="0" applyProtection="0"/>
    <xf numFmtId="0" fontId="40" fillId="0" borderId="0">
      <alignment vertical="center"/>
      <protection/>
    </xf>
    <xf numFmtId="0" fontId="147" fillId="0" borderId="0" applyNumberFormat="0" applyFill="0" applyBorder="0" applyAlignment="0" applyProtection="0"/>
    <xf numFmtId="0" fontId="40" fillId="0" borderId="0">
      <alignment vertical="center"/>
      <protection/>
    </xf>
    <xf numFmtId="0" fontId="39" fillId="0" borderId="0">
      <alignment vertical="center"/>
      <protection/>
    </xf>
    <xf numFmtId="0" fontId="39" fillId="0" borderId="0">
      <alignment vertical="center"/>
      <protection/>
    </xf>
    <xf numFmtId="0" fontId="40" fillId="0" borderId="0">
      <alignment vertical="center"/>
      <protection/>
    </xf>
    <xf numFmtId="0" fontId="39" fillId="0" borderId="0">
      <alignment/>
      <protection/>
    </xf>
    <xf numFmtId="0" fontId="39" fillId="0" borderId="0">
      <alignment/>
      <protection/>
    </xf>
  </cellStyleXfs>
  <cellXfs count="261">
    <xf numFmtId="0" fontId="0" fillId="0" borderId="0" xfId="0" applyAlignment="1">
      <alignment/>
    </xf>
    <xf numFmtId="0" fontId="3" fillId="0" borderId="0" xfId="0" applyFont="1" applyFill="1" applyAlignment="1" applyProtection="1">
      <alignment/>
      <protection locked="0"/>
    </xf>
    <xf numFmtId="0" fontId="4" fillId="0" borderId="0" xfId="0" applyFont="1" applyAlignment="1">
      <alignment/>
    </xf>
    <xf numFmtId="39" fontId="3" fillId="0" borderId="0" xfId="0" applyNumberFormat="1" applyFont="1" applyFill="1" applyAlignment="1">
      <alignment horizontal="left"/>
    </xf>
    <xf numFmtId="43" fontId="5" fillId="0" borderId="0" xfId="993" applyFont="1" applyFill="1" applyAlignment="1">
      <alignment horizontal="right"/>
    </xf>
    <xf numFmtId="43" fontId="5" fillId="0" borderId="0" xfId="993" applyFont="1" applyFill="1" applyAlignment="1">
      <alignment horizontal="left"/>
    </xf>
    <xf numFmtId="0" fontId="4" fillId="0" borderId="0" xfId="0" applyFont="1" applyAlignment="1">
      <alignment horizontal="left"/>
    </xf>
    <xf numFmtId="3" fontId="4" fillId="0" borderId="0" xfId="0" applyNumberFormat="1" applyFont="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horizontal="left"/>
    </xf>
    <xf numFmtId="0" fontId="3" fillId="0" borderId="0" xfId="0" applyFont="1" applyAlignment="1">
      <alignment horizontal="left"/>
    </xf>
    <xf numFmtId="0" fontId="3" fillId="0" borderId="0" xfId="0" applyFont="1" applyFill="1" applyAlignment="1" applyProtection="1">
      <alignment horizontal="left"/>
      <protection locked="0"/>
    </xf>
    <xf numFmtId="0" fontId="0" fillId="0" borderId="0" xfId="0" applyFont="1" applyAlignment="1">
      <alignment horizontal="left"/>
    </xf>
    <xf numFmtId="0" fontId="3" fillId="0" borderId="0" xfId="0" applyFont="1" applyAlignment="1">
      <alignment/>
    </xf>
    <xf numFmtId="37" fontId="4" fillId="0" borderId="0" xfId="0" applyNumberFormat="1" applyFont="1" applyAlignment="1">
      <alignment horizontal="left"/>
    </xf>
    <xf numFmtId="3" fontId="4" fillId="0" borderId="0" xfId="0" applyNumberFormat="1" applyFont="1" applyFill="1" applyAlignment="1">
      <alignment horizontal="left"/>
    </xf>
    <xf numFmtId="0" fontId="4" fillId="0" borderId="0" xfId="0" applyFont="1" applyFill="1" applyAlignment="1">
      <alignment horizontal="left"/>
    </xf>
    <xf numFmtId="43" fontId="5" fillId="0" borderId="0" xfId="993" applyFont="1" applyFill="1" applyAlignment="1">
      <alignment horizontal="left" vertical="center"/>
    </xf>
    <xf numFmtId="0" fontId="3" fillId="0" borderId="5" xfId="0" applyFont="1" applyBorder="1" applyAlignment="1">
      <alignment horizontal="left" vertical="center"/>
    </xf>
    <xf numFmtId="0" fontId="3" fillId="0" borderId="0" xfId="0" applyFont="1" applyFill="1" applyAlignment="1" applyProtection="1">
      <alignment horizontal="left" vertical="center"/>
      <protection locked="0"/>
    </xf>
    <xf numFmtId="39" fontId="3" fillId="0" borderId="0" xfId="0" applyNumberFormat="1" applyFont="1" applyFill="1" applyAlignment="1">
      <alignment horizontal="left" vertical="center"/>
    </xf>
    <xf numFmtId="0" fontId="0" fillId="0" borderId="0" xfId="0" applyFont="1" applyAlignment="1">
      <alignment horizontal="left" vertical="center"/>
    </xf>
    <xf numFmtId="0" fontId="3" fillId="0" borderId="0" xfId="0" applyFont="1" applyFill="1" applyBorder="1" applyAlignment="1">
      <alignment/>
    </xf>
    <xf numFmtId="39" fontId="4" fillId="0" borderId="0" xfId="0" applyNumberFormat="1" applyFont="1" applyFill="1" applyBorder="1" applyAlignment="1">
      <alignment/>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39" fontId="3" fillId="0" borderId="0" xfId="0" applyNumberFormat="1" applyFont="1" applyFill="1" applyBorder="1" applyAlignment="1">
      <alignment horizontal="left"/>
    </xf>
    <xf numFmtId="43" fontId="5" fillId="0" borderId="0" xfId="993" applyFont="1" applyFill="1" applyBorder="1" applyAlignment="1">
      <alignment horizontal="right"/>
    </xf>
    <xf numFmtId="39" fontId="6" fillId="0" borderId="0" xfId="0" applyNumberFormat="1" applyFont="1" applyFill="1" applyBorder="1" applyAlignment="1">
      <alignment horizontal="center" wrapText="1"/>
    </xf>
    <xf numFmtId="169" fontId="6" fillId="0" borderId="0" xfId="0" applyNumberFormat="1" applyFont="1" applyFill="1" applyBorder="1" applyAlignment="1">
      <alignment horizontal="center" wrapText="1"/>
    </xf>
    <xf numFmtId="0" fontId="3" fillId="0" borderId="0" xfId="0" applyFont="1" applyFill="1" applyBorder="1" applyAlignment="1" applyProtection="1">
      <alignment horizontal="center"/>
      <protection locked="0"/>
    </xf>
    <xf numFmtId="39" fontId="3" fillId="0" borderId="0" xfId="0" applyNumberFormat="1" applyFont="1" applyFill="1" applyBorder="1" applyAlignment="1">
      <alignment/>
    </xf>
    <xf numFmtId="39" fontId="7" fillId="0" borderId="0" xfId="0" applyNumberFormat="1" applyFont="1" applyFill="1" applyBorder="1" applyAlignment="1">
      <alignment/>
    </xf>
    <xf numFmtId="39" fontId="10" fillId="0" borderId="0" xfId="0" applyNumberFormat="1" applyFont="1" applyFill="1" applyBorder="1" applyAlignment="1">
      <alignment/>
    </xf>
    <xf numFmtId="37" fontId="10" fillId="0" borderId="0" xfId="0" applyNumberFormat="1" applyFont="1" applyFill="1" applyBorder="1" applyAlignment="1">
      <alignment horizontal="left"/>
    </xf>
    <xf numFmtId="0" fontId="10" fillId="0" borderId="0" xfId="0" applyFont="1" applyAlignment="1">
      <alignment horizontal="left"/>
    </xf>
    <xf numFmtId="0" fontId="10" fillId="0" borderId="0" xfId="0" applyFont="1" applyAlignment="1">
      <alignment horizontal="left" vertical="center"/>
    </xf>
    <xf numFmtId="9" fontId="7" fillId="0" borderId="0" xfId="1639" applyFont="1" applyFill="1" applyBorder="1" applyAlignment="1">
      <alignment horizontal="right"/>
    </xf>
    <xf numFmtId="43" fontId="3" fillId="0" borderId="0" xfId="993" applyFont="1" applyFill="1" applyBorder="1" applyAlignment="1">
      <alignment horizontal="right"/>
    </xf>
    <xf numFmtId="0" fontId="0" fillId="0" borderId="0" xfId="0" applyFont="1" applyFill="1" applyBorder="1" applyAlignment="1">
      <alignment horizontal="right"/>
    </xf>
    <xf numFmtId="43" fontId="4" fillId="0" borderId="0" xfId="993" applyFont="1" applyFill="1" applyBorder="1" applyAlignment="1">
      <alignment horizontal="right"/>
    </xf>
    <xf numFmtId="168" fontId="4" fillId="0" borderId="0" xfId="993" applyNumberFormat="1" applyFont="1" applyFill="1" applyBorder="1" applyAlignment="1" applyProtection="1">
      <alignment horizontal="right"/>
      <protection locked="0"/>
    </xf>
    <xf numFmtId="168" fontId="4" fillId="0" borderId="22" xfId="993" applyNumberFormat="1" applyFont="1" applyFill="1" applyBorder="1" applyAlignment="1">
      <alignment horizontal="right"/>
    </xf>
    <xf numFmtId="168" fontId="4" fillId="0" borderId="0" xfId="993" applyNumberFormat="1" applyFont="1" applyFill="1" applyBorder="1" applyAlignment="1">
      <alignment horizontal="right"/>
    </xf>
    <xf numFmtId="168" fontId="4" fillId="0" borderId="22" xfId="993" applyNumberFormat="1" applyFont="1" applyFill="1" applyBorder="1" applyAlignment="1" applyProtection="1">
      <alignment horizontal="right"/>
      <protection locked="0"/>
    </xf>
    <xf numFmtId="170" fontId="12" fillId="0" borderId="0" xfId="993" applyNumberFormat="1" applyFont="1" applyFill="1" applyBorder="1" applyAlignment="1" applyProtection="1">
      <alignment horizontal="right"/>
      <protection/>
    </xf>
    <xf numFmtId="168" fontId="8" fillId="0" borderId="0" xfId="993" applyNumberFormat="1" applyFont="1" applyFill="1" applyBorder="1" applyAlignment="1">
      <alignment horizontal="right"/>
    </xf>
    <xf numFmtId="168" fontId="7" fillId="0" borderId="0" xfId="993" applyNumberFormat="1" applyFont="1" applyFill="1" applyBorder="1" applyAlignment="1">
      <alignment horizontal="right"/>
    </xf>
    <xf numFmtId="168" fontId="3" fillId="0" borderId="22" xfId="993" applyNumberFormat="1" applyFont="1" applyFill="1" applyBorder="1" applyAlignment="1">
      <alignment horizontal="right"/>
    </xf>
    <xf numFmtId="0" fontId="4" fillId="0" borderId="0" xfId="0" applyFont="1" applyFill="1" applyAlignment="1">
      <alignment/>
    </xf>
    <xf numFmtId="168" fontId="12" fillId="0" borderId="0" xfId="993" applyNumberFormat="1" applyFont="1" applyFill="1" applyBorder="1" applyAlignment="1" applyProtection="1">
      <alignment horizontal="right"/>
      <protection/>
    </xf>
    <xf numFmtId="0" fontId="8" fillId="0" borderId="0" xfId="0" applyFont="1" applyAlignment="1">
      <alignment horizontal="left" vertical="center"/>
    </xf>
    <xf numFmtId="0" fontId="4" fillId="0" borderId="0" xfId="0" applyFont="1" applyFill="1" applyBorder="1" applyAlignment="1">
      <alignment horizontal="left"/>
    </xf>
    <xf numFmtId="43" fontId="4" fillId="0" borderId="0" xfId="993" applyFont="1" applyAlignment="1">
      <alignment horizontal="left"/>
    </xf>
    <xf numFmtId="3" fontId="3" fillId="0" borderId="5" xfId="0" applyNumberFormat="1" applyFont="1" applyBorder="1" applyAlignment="1">
      <alignment horizontal="center"/>
    </xf>
    <xf numFmtId="168" fontId="4" fillId="0" borderId="0" xfId="993" applyNumberFormat="1" applyFont="1" applyAlignment="1">
      <alignment horizontal="left"/>
    </xf>
    <xf numFmtId="168" fontId="4" fillId="0" borderId="51" xfId="993" applyNumberFormat="1" applyFont="1" applyBorder="1" applyAlignment="1">
      <alignment horizontal="left"/>
    </xf>
    <xf numFmtId="0" fontId="4" fillId="0" borderId="5" xfId="0" applyFont="1" applyBorder="1" applyAlignment="1">
      <alignment/>
    </xf>
    <xf numFmtId="172" fontId="4" fillId="0" borderId="0" xfId="1639" applyNumberFormat="1" applyFont="1" applyAlignment="1">
      <alignment horizontal="left"/>
    </xf>
    <xf numFmtId="37" fontId="4" fillId="0" borderId="0" xfId="0" applyNumberFormat="1" applyFont="1" applyBorder="1" applyAlignment="1">
      <alignment horizontal="left"/>
    </xf>
    <xf numFmtId="9" fontId="4" fillId="0" borderId="0" xfId="0" applyNumberFormat="1" applyFont="1" applyAlignment="1">
      <alignment horizontal="left"/>
    </xf>
    <xf numFmtId="37" fontId="4" fillId="0" borderId="0" xfId="0" applyNumberFormat="1" applyFont="1" applyFill="1" applyBorder="1" applyAlignment="1">
      <alignment horizontal="left"/>
    </xf>
    <xf numFmtId="168" fontId="4" fillId="0" borderId="0" xfId="0" applyNumberFormat="1" applyFont="1" applyFill="1" applyAlignment="1">
      <alignment horizontal="left"/>
    </xf>
    <xf numFmtId="168" fontId="4" fillId="0" borderId="0" xfId="993" applyNumberFormat="1" applyFont="1" applyFill="1" applyAlignment="1">
      <alignment horizontal="left"/>
    </xf>
    <xf numFmtId="168" fontId="4" fillId="0" borderId="0" xfId="0" applyNumberFormat="1" applyFont="1" applyAlignment="1">
      <alignment horizontal="left"/>
    </xf>
    <xf numFmtId="168" fontId="4" fillId="0" borderId="51" xfId="0" applyNumberFormat="1" applyFont="1" applyBorder="1" applyAlignment="1">
      <alignment horizontal="left"/>
    </xf>
    <xf numFmtId="0" fontId="14" fillId="0" borderId="0" xfId="0" applyFont="1" applyFill="1" applyAlignment="1" applyProtection="1">
      <alignment horizontal="center"/>
      <protection locked="0"/>
    </xf>
    <xf numFmtId="39" fontId="14" fillId="0" borderId="0" xfId="0" applyNumberFormat="1" applyFont="1" applyFill="1" applyAlignment="1">
      <alignment horizontal="center"/>
    </xf>
    <xf numFmtId="43" fontId="14" fillId="0" borderId="0" xfId="993" applyFont="1" applyFill="1" applyAlignment="1">
      <alignment horizontal="center"/>
    </xf>
    <xf numFmtId="0" fontId="14" fillId="0" borderId="0" xfId="0" applyFont="1" applyAlignment="1">
      <alignment horizontal="center"/>
    </xf>
    <xf numFmtId="175" fontId="4" fillId="0" borderId="0" xfId="993" applyNumberFormat="1" applyFont="1" applyAlignment="1">
      <alignment horizontal="left"/>
    </xf>
    <xf numFmtId="175" fontId="4" fillId="0" borderId="51" xfId="993" applyNumberFormat="1" applyFont="1" applyBorder="1" applyAlignment="1">
      <alignment horizontal="left"/>
    </xf>
    <xf numFmtId="175" fontId="14" fillId="0" borderId="0" xfId="993" applyNumberFormat="1" applyFont="1" applyAlignment="1">
      <alignment horizontal="center"/>
    </xf>
    <xf numFmtId="0" fontId="0" fillId="0" borderId="0" xfId="0" applyFont="1" applyFill="1" applyBorder="1" applyAlignment="1">
      <alignment/>
    </xf>
    <xf numFmtId="39" fontId="15" fillId="0" borderId="0" xfId="0" applyNumberFormat="1" applyFont="1" applyFill="1" applyBorder="1" applyAlignment="1">
      <alignment horizontal="center" wrapText="1"/>
    </xf>
    <xf numFmtId="43" fontId="15" fillId="0" borderId="0" xfId="993"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Border="1" applyAlignment="1">
      <alignment/>
    </xf>
    <xf numFmtId="0" fontId="16" fillId="0" borderId="0" xfId="0" applyFont="1" applyFill="1" applyBorder="1" applyAlignment="1">
      <alignment/>
    </xf>
    <xf numFmtId="9" fontId="4" fillId="0" borderId="0" xfId="0" applyNumberFormat="1" applyFont="1" applyFill="1" applyBorder="1" applyAlignment="1">
      <alignment/>
    </xf>
    <xf numFmtId="168" fontId="3" fillId="0" borderId="22" xfId="993" applyNumberFormat="1" applyFont="1" applyFill="1" applyBorder="1" applyAlignment="1" applyProtection="1">
      <alignment horizontal="right"/>
      <protection locked="0"/>
    </xf>
    <xf numFmtId="0" fontId="3" fillId="0" borderId="0" xfId="0" applyFont="1" applyFill="1" applyAlignment="1">
      <alignment horizontal="left"/>
    </xf>
    <xf numFmtId="168" fontId="3" fillId="0" borderId="0" xfId="993" applyNumberFormat="1" applyFont="1" applyAlignment="1">
      <alignment horizontal="left"/>
    </xf>
    <xf numFmtId="168" fontId="3" fillId="0" borderId="0" xfId="993" applyNumberFormat="1" applyFont="1" applyFill="1" applyAlignment="1">
      <alignment horizontal="left"/>
    </xf>
    <xf numFmtId="9" fontId="4" fillId="0" borderId="0" xfId="1639" applyNumberFormat="1" applyFont="1" applyAlignment="1">
      <alignment horizontal="right"/>
    </xf>
    <xf numFmtId="0" fontId="4" fillId="0" borderId="45" xfId="0" applyFont="1" applyFill="1" applyBorder="1" applyAlignment="1">
      <alignment/>
    </xf>
    <xf numFmtId="0" fontId="4" fillId="0" borderId="45" xfId="0" applyFont="1" applyFill="1" applyBorder="1" applyAlignment="1">
      <alignment horizontal="left"/>
    </xf>
    <xf numFmtId="168" fontId="3" fillId="0" borderId="45" xfId="993" applyNumberFormat="1" applyFont="1" applyFill="1" applyBorder="1" applyAlignment="1">
      <alignment horizontal="left"/>
    </xf>
    <xf numFmtId="9" fontId="4" fillId="0" borderId="45" xfId="1639" applyNumberFormat="1" applyFont="1" applyBorder="1" applyAlignment="1">
      <alignment horizontal="right"/>
    </xf>
    <xf numFmtId="0" fontId="4" fillId="0" borderId="44" xfId="0" applyFont="1" applyFill="1" applyBorder="1" applyAlignment="1">
      <alignment/>
    </xf>
    <xf numFmtId="0" fontId="4" fillId="0" borderId="44" xfId="0" applyFont="1" applyFill="1" applyBorder="1" applyAlignment="1">
      <alignment horizontal="left"/>
    </xf>
    <xf numFmtId="168" fontId="3" fillId="0" borderId="44" xfId="993" applyNumberFormat="1" applyFont="1" applyBorder="1" applyAlignment="1">
      <alignment horizontal="left"/>
    </xf>
    <xf numFmtId="9" fontId="4" fillId="0" borderId="44" xfId="1639" applyNumberFormat="1" applyFont="1" applyBorder="1" applyAlignment="1">
      <alignment horizontal="right"/>
    </xf>
    <xf numFmtId="0" fontId="4" fillId="0" borderId="0" xfId="0" applyFont="1" applyFill="1" applyAlignment="1">
      <alignment horizontal="left" vertical="center"/>
    </xf>
    <xf numFmtId="3" fontId="4" fillId="0" borderId="0" xfId="0" applyNumberFormat="1" applyFont="1" applyFill="1" applyAlignment="1">
      <alignment horizontal="left" vertical="center"/>
    </xf>
    <xf numFmtId="173" fontId="4" fillId="0" borderId="0" xfId="0" applyNumberFormat="1" applyFont="1" applyFill="1" applyAlignment="1">
      <alignment horizontal="right" vertical="center"/>
    </xf>
    <xf numFmtId="0" fontId="3" fillId="0" borderId="0" xfId="0" applyFont="1" applyFill="1" applyAlignment="1">
      <alignment horizontal="left" vertical="center"/>
    </xf>
    <xf numFmtId="10" fontId="4" fillId="0" borderId="0" xfId="1639" applyNumberFormat="1" applyFont="1" applyFill="1" applyAlignment="1">
      <alignment horizontal="left" vertical="center"/>
    </xf>
    <xf numFmtId="9" fontId="4" fillId="0" borderId="0" xfId="1639" applyFont="1" applyFill="1" applyAlignment="1">
      <alignment horizontal="left" vertical="center"/>
    </xf>
    <xf numFmtId="172" fontId="4" fillId="0" borderId="0" xfId="1639" applyNumberFormat="1" applyFont="1" applyFill="1" applyAlignment="1">
      <alignment horizontal="left" vertical="center"/>
    </xf>
    <xf numFmtId="172" fontId="4" fillId="0" borderId="0" xfId="1639" applyNumberFormat="1" applyFont="1" applyFill="1" applyAlignment="1">
      <alignment horizontal="center" vertical="center"/>
    </xf>
    <xf numFmtId="3" fontId="3" fillId="0" borderId="5" xfId="0" applyNumberFormat="1" applyFont="1" applyBorder="1" applyAlignment="1">
      <alignment horizontal="center" wrapText="1"/>
    </xf>
    <xf numFmtId="179" fontId="4" fillId="0" borderId="0" xfId="0" applyNumberFormat="1" applyFont="1" applyBorder="1" applyAlignment="1">
      <alignment horizontal="right"/>
    </xf>
    <xf numFmtId="0" fontId="4" fillId="0" borderId="0" xfId="0" applyFont="1" applyAlignment="1">
      <alignment horizontal="right" vertical="center"/>
    </xf>
    <xf numFmtId="176" fontId="4" fillId="0" borderId="0" xfId="0" applyNumberFormat="1" applyFont="1" applyFill="1" applyAlignment="1">
      <alignment horizontal="right" vertical="center"/>
    </xf>
    <xf numFmtId="0" fontId="3" fillId="0" borderId="0" xfId="0" applyFont="1" applyFill="1" applyAlignment="1">
      <alignment/>
    </xf>
    <xf numFmtId="43" fontId="4" fillId="0" borderId="0" xfId="993" applyFont="1" applyFill="1" applyAlignment="1">
      <alignment horizontal="left"/>
    </xf>
    <xf numFmtId="175" fontId="4" fillId="0" borderId="0" xfId="993" applyNumberFormat="1" applyFont="1" applyFill="1" applyAlignment="1">
      <alignment horizontal="left" vertical="center"/>
    </xf>
    <xf numFmtId="172" fontId="4" fillId="0" borderId="0" xfId="1639" applyNumberFormat="1" applyFont="1" applyFill="1" applyAlignment="1">
      <alignment horizontal="right" vertical="center"/>
    </xf>
    <xf numFmtId="0" fontId="18" fillId="0" borderId="0" xfId="0" applyFont="1" applyAlignment="1">
      <alignment horizontal="left"/>
    </xf>
    <xf numFmtId="0" fontId="19" fillId="0" borderId="0" xfId="0" applyFont="1" applyFill="1" applyAlignment="1">
      <alignment horizontal="center"/>
    </xf>
    <xf numFmtId="0" fontId="10" fillId="0" borderId="0" xfId="0" applyFont="1" applyFill="1" applyAlignment="1">
      <alignment horizontal="left"/>
    </xf>
    <xf numFmtId="168" fontId="20" fillId="0" borderId="0" xfId="993" applyNumberFormat="1" applyFont="1" applyFill="1" applyAlignment="1">
      <alignment horizontal="left"/>
    </xf>
    <xf numFmtId="167" fontId="20" fillId="0" borderId="0" xfId="0" applyNumberFormat="1" applyFont="1" applyFill="1" applyAlignment="1">
      <alignment horizontal="left"/>
    </xf>
    <xf numFmtId="181" fontId="4" fillId="0" borderId="0" xfId="0" applyNumberFormat="1" applyFont="1" applyFill="1" applyAlignment="1">
      <alignment horizontal="left" vertical="center"/>
    </xf>
    <xf numFmtId="17" fontId="4" fillId="0" borderId="0" xfId="1639" applyNumberFormat="1" applyFont="1" applyFill="1" applyAlignment="1">
      <alignment horizontal="left" vertical="center"/>
    </xf>
    <xf numFmtId="0" fontId="3" fillId="0" borderId="5" xfId="0" applyFont="1" applyFill="1" applyBorder="1" applyAlignment="1" applyProtection="1">
      <alignment horizontal="right"/>
      <protection locked="0"/>
    </xf>
    <xf numFmtId="9" fontId="4" fillId="0" borderId="0" xfId="1639" applyNumberFormat="1" applyFont="1" applyBorder="1" applyAlignment="1">
      <alignment horizontal="right"/>
    </xf>
    <xf numFmtId="183" fontId="4" fillId="0" borderId="0" xfId="0" applyNumberFormat="1" applyFont="1" applyBorder="1" applyAlignment="1">
      <alignment horizontal="right"/>
    </xf>
    <xf numFmtId="37" fontId="4" fillId="0" borderId="0" xfId="0" applyNumberFormat="1"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3" fillId="45" borderId="0" xfId="0" applyFont="1" applyFill="1" applyAlignment="1">
      <alignment/>
    </xf>
    <xf numFmtId="168" fontId="4" fillId="0" borderId="51" xfId="993" applyNumberFormat="1" applyFont="1" applyFill="1" applyBorder="1" applyAlignment="1">
      <alignment horizontal="left"/>
    </xf>
    <xf numFmtId="175" fontId="4" fillId="0" borderId="0" xfId="993" applyNumberFormat="1" applyFont="1" applyFill="1" applyAlignment="1">
      <alignment horizontal="left"/>
    </xf>
    <xf numFmtId="0" fontId="4" fillId="0" borderId="0" xfId="0" applyFont="1" applyFill="1" applyAlignment="1">
      <alignment horizontal="center" vertical="center"/>
    </xf>
    <xf numFmtId="3" fontId="4" fillId="0" borderId="0" xfId="0" applyNumberFormat="1" applyFont="1" applyFill="1" applyAlignment="1">
      <alignment horizontal="center"/>
    </xf>
    <xf numFmtId="9" fontId="4" fillId="0" borderId="0" xfId="1639" applyNumberFormat="1" applyFont="1" applyFill="1" applyAlignment="1">
      <alignment horizontal="right"/>
    </xf>
    <xf numFmtId="9" fontId="4" fillId="0" borderId="45" xfId="1639" applyNumberFormat="1" applyFont="1" applyFill="1" applyBorder="1" applyAlignment="1">
      <alignment horizontal="right"/>
    </xf>
    <xf numFmtId="9" fontId="4" fillId="0" borderId="44" xfId="1639" applyNumberFormat="1" applyFont="1" applyFill="1" applyBorder="1" applyAlignment="1">
      <alignment horizontal="right"/>
    </xf>
    <xf numFmtId="9" fontId="4" fillId="0" borderId="0" xfId="1639" applyNumberFormat="1" applyFont="1" applyFill="1" applyBorder="1" applyAlignment="1">
      <alignment horizontal="right"/>
    </xf>
    <xf numFmtId="43" fontId="15" fillId="0" borderId="0" xfId="993" applyFont="1" applyFill="1" applyBorder="1" applyAlignment="1">
      <alignment horizontal="center"/>
    </xf>
    <xf numFmtId="169" fontId="6" fillId="0" borderId="0" xfId="0" applyNumberFormat="1" applyFont="1" applyFill="1" applyBorder="1" applyAlignment="1">
      <alignment horizontal="center"/>
    </xf>
    <xf numFmtId="39" fontId="7" fillId="0" borderId="0" xfId="993" applyNumberFormat="1" applyFont="1" applyFill="1" applyBorder="1" applyAlignment="1">
      <alignment horizontal="right"/>
    </xf>
    <xf numFmtId="37" fontId="10" fillId="0" borderId="0" xfId="0" applyNumberFormat="1" applyFont="1" applyFill="1" applyBorder="1" applyAlignment="1">
      <alignment horizontal="left" vertical="top"/>
    </xf>
    <xf numFmtId="39" fontId="6" fillId="0" borderId="0" xfId="0" applyNumberFormat="1" applyFont="1" applyFill="1" applyBorder="1" applyAlignment="1">
      <alignment/>
    </xf>
    <xf numFmtId="39" fontId="10" fillId="0" borderId="0" xfId="0" applyNumberFormat="1" applyFont="1" applyFill="1" applyBorder="1" applyAlignment="1">
      <alignment vertical="top" wrapText="1"/>
    </xf>
    <xf numFmtId="10" fontId="4" fillId="0" borderId="0" xfId="0" applyNumberFormat="1" applyFont="1" applyFill="1" applyAlignment="1">
      <alignment horizontal="left"/>
    </xf>
    <xf numFmtId="10" fontId="4" fillId="0" borderId="0" xfId="0" applyNumberFormat="1" applyFont="1" applyAlignment="1">
      <alignment horizontal="left"/>
    </xf>
    <xf numFmtId="172" fontId="4" fillId="0" borderId="0" xfId="0" applyNumberFormat="1" applyFont="1" applyAlignment="1">
      <alignment horizontal="left"/>
    </xf>
    <xf numFmtId="0" fontId="3" fillId="0" borderId="0" xfId="0" applyFont="1" applyAlignment="1">
      <alignment horizontal="center" vertical="center"/>
    </xf>
    <xf numFmtId="178" fontId="4" fillId="0" borderId="0" xfId="0" applyNumberFormat="1" applyFont="1" applyFill="1" applyAlignment="1">
      <alignment horizontal="center" vertical="center"/>
    </xf>
    <xf numFmtId="176" fontId="4" fillId="0" borderId="0" xfId="0" applyNumberFormat="1" applyFont="1" applyFill="1" applyAlignment="1" quotePrefix="1">
      <alignment horizontal="center" vertical="center"/>
    </xf>
    <xf numFmtId="3" fontId="4" fillId="0" borderId="0" xfId="0" applyNumberFormat="1" applyFont="1" applyFill="1" applyAlignment="1">
      <alignment horizontal="center" vertical="center"/>
    </xf>
    <xf numFmtId="9" fontId="4" fillId="0" borderId="0" xfId="1639" applyFont="1" applyFill="1" applyAlignment="1">
      <alignment horizontal="center" vertical="center"/>
    </xf>
    <xf numFmtId="168" fontId="0" fillId="0" borderId="0" xfId="993" applyNumberFormat="1" applyFont="1" applyFill="1" applyBorder="1" applyAlignment="1">
      <alignment/>
    </xf>
    <xf numFmtId="168" fontId="4" fillId="0" borderId="51" xfId="0" applyNumberFormat="1" applyFont="1" applyFill="1" applyBorder="1" applyAlignment="1">
      <alignment horizontal="left"/>
    </xf>
    <xf numFmtId="184" fontId="4" fillId="0" borderId="0" xfId="0" applyNumberFormat="1" applyFont="1" applyBorder="1" applyAlignment="1">
      <alignment horizontal="right"/>
    </xf>
    <xf numFmtId="184" fontId="4" fillId="0" borderId="0" xfId="0" applyNumberFormat="1" applyFont="1" applyFill="1" applyBorder="1" applyAlignment="1">
      <alignment horizontal="right"/>
    </xf>
    <xf numFmtId="184" fontId="4" fillId="0" borderId="0" xfId="0" applyNumberFormat="1" applyFont="1" applyAlignment="1">
      <alignment horizontal="right"/>
    </xf>
    <xf numFmtId="41" fontId="4" fillId="0" borderId="0" xfId="0" applyNumberFormat="1" applyFont="1" applyAlignment="1">
      <alignment horizontal="left"/>
    </xf>
    <xf numFmtId="41" fontId="4" fillId="0" borderId="0" xfId="0" applyNumberFormat="1" applyFont="1" applyFill="1" applyAlignment="1">
      <alignment horizontal="left"/>
    </xf>
    <xf numFmtId="9" fontId="4" fillId="0" borderId="0" xfId="1639" applyFont="1" applyAlignment="1">
      <alignment horizontal="right"/>
    </xf>
    <xf numFmtId="9" fontId="4" fillId="0" borderId="5" xfId="1639" applyFont="1" applyFill="1" applyBorder="1" applyAlignment="1">
      <alignment horizontal="right"/>
    </xf>
    <xf numFmtId="9" fontId="4" fillId="0" borderId="0" xfId="1639" applyFont="1" applyFill="1" applyAlignment="1">
      <alignment horizontal="right"/>
    </xf>
    <xf numFmtId="9" fontId="4" fillId="0" borderId="44" xfId="1639" applyFont="1" applyBorder="1" applyAlignment="1">
      <alignment horizontal="right"/>
    </xf>
    <xf numFmtId="9" fontId="4" fillId="0" borderId="0" xfId="1639" applyFont="1" applyFill="1" applyAlignment="1">
      <alignment horizontal="left"/>
    </xf>
    <xf numFmtId="0" fontId="19" fillId="0" borderId="0" xfId="0" applyFont="1" applyFill="1" applyAlignment="1">
      <alignment horizontal="left"/>
    </xf>
    <xf numFmtId="0" fontId="20" fillId="0" borderId="0" xfId="0" applyFont="1" applyFill="1" applyAlignment="1">
      <alignment horizontal="left"/>
    </xf>
    <xf numFmtId="9" fontId="4" fillId="0" borderId="44" xfId="1639" applyFont="1" applyFill="1" applyBorder="1" applyAlignment="1">
      <alignment horizontal="right"/>
    </xf>
    <xf numFmtId="0" fontId="10" fillId="0" borderId="0" xfId="0" applyFont="1" applyAlignment="1">
      <alignment horizontal="left" vertical="top" wrapText="1"/>
    </xf>
    <xf numFmtId="0" fontId="4" fillId="0" borderId="0" xfId="0" applyFont="1" applyAlignment="1">
      <alignment horizontal="left" vertical="top" wrapText="1"/>
    </xf>
    <xf numFmtId="37" fontId="10" fillId="0" borderId="0" xfId="0" applyNumberFormat="1" applyFont="1" applyFill="1" applyBorder="1" applyAlignment="1">
      <alignment horizontal="left" vertical="top" wrapText="1"/>
    </xf>
    <xf numFmtId="184" fontId="4" fillId="0" borderId="0" xfId="0" applyNumberFormat="1" applyFont="1" applyFill="1" applyAlignment="1">
      <alignment horizontal="right"/>
    </xf>
    <xf numFmtId="172" fontId="4" fillId="0" borderId="0" xfId="0" applyNumberFormat="1" applyFont="1" applyFill="1" applyAlignment="1">
      <alignment horizontal="left"/>
    </xf>
    <xf numFmtId="0" fontId="14" fillId="0" borderId="0" xfId="0" applyFont="1" applyFill="1" applyAlignment="1">
      <alignment horizontal="center"/>
    </xf>
    <xf numFmtId="3" fontId="4" fillId="0" borderId="5" xfId="0" applyNumberFormat="1" applyFont="1" applyFill="1" applyBorder="1" applyAlignment="1">
      <alignment horizontal="lef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3" fillId="0" borderId="0" xfId="0" applyFont="1" applyAlignment="1">
      <alignment horizontal="right"/>
    </xf>
    <xf numFmtId="9" fontId="4" fillId="0" borderId="5" xfId="1639" applyNumberFormat="1" applyFont="1" applyFill="1" applyBorder="1" applyAlignment="1">
      <alignment horizontal="right"/>
    </xf>
    <xf numFmtId="0" fontId="0" fillId="0" borderId="0" xfId="0" applyFont="1" applyFill="1" applyAlignment="1">
      <alignment/>
    </xf>
    <xf numFmtId="3" fontId="4" fillId="0" borderId="0" xfId="0" applyNumberFormat="1" applyFont="1" applyFill="1" applyAlignment="1">
      <alignment/>
    </xf>
    <xf numFmtId="0" fontId="0" fillId="0" borderId="0" xfId="0" applyFont="1" applyFill="1" applyAlignment="1">
      <alignment horizontal="left"/>
    </xf>
    <xf numFmtId="3" fontId="3" fillId="0" borderId="5" xfId="0" applyNumberFormat="1" applyFont="1" applyFill="1" applyBorder="1" applyAlignment="1">
      <alignment horizontal="center" wrapText="1"/>
    </xf>
    <xf numFmtId="175" fontId="4" fillId="0" borderId="51" xfId="993" applyNumberFormat="1" applyFont="1" applyFill="1" applyBorder="1" applyAlignment="1">
      <alignment horizontal="left"/>
    </xf>
    <xf numFmtId="168" fontId="4" fillId="0" borderId="0" xfId="1060" applyNumberFormat="1" applyFont="1" applyAlignment="1">
      <alignment horizontal="left"/>
    </xf>
    <xf numFmtId="168" fontId="4" fillId="0" borderId="51" xfId="1060" applyNumberFormat="1" applyFont="1" applyBorder="1" applyAlignment="1">
      <alignment horizontal="left"/>
    </xf>
    <xf numFmtId="168" fontId="4" fillId="0" borderId="51" xfId="1060" applyNumberFormat="1" applyFont="1" applyFill="1" applyBorder="1" applyAlignment="1">
      <alignment horizontal="left"/>
    </xf>
    <xf numFmtId="168" fontId="4" fillId="0" borderId="0" xfId="1060" applyNumberFormat="1" applyFont="1" applyFill="1" applyBorder="1" applyAlignment="1" applyProtection="1">
      <alignment horizontal="right"/>
      <protection locked="0"/>
    </xf>
    <xf numFmtId="168" fontId="4" fillId="0" borderId="22" xfId="1060" applyNumberFormat="1" applyFont="1" applyFill="1" applyBorder="1" applyAlignment="1">
      <alignment horizontal="right"/>
    </xf>
    <xf numFmtId="168" fontId="4" fillId="0" borderId="22" xfId="1060" applyNumberFormat="1" applyFont="1" applyFill="1" applyBorder="1" applyAlignment="1" applyProtection="1">
      <alignment horizontal="right"/>
      <protection locked="0"/>
    </xf>
    <xf numFmtId="168" fontId="3" fillId="0" borderId="22" xfId="1060" applyNumberFormat="1" applyFont="1" applyFill="1" applyBorder="1" applyAlignment="1">
      <alignment horizontal="right"/>
    </xf>
    <xf numFmtId="168" fontId="4" fillId="0" borderId="0" xfId="1060" applyNumberFormat="1" applyFont="1" applyFill="1" applyBorder="1" applyAlignment="1">
      <alignment horizontal="right"/>
    </xf>
    <xf numFmtId="39" fontId="7" fillId="0" borderId="0" xfId="1060" applyNumberFormat="1" applyFont="1" applyFill="1" applyBorder="1" applyAlignment="1">
      <alignment horizontal="right"/>
    </xf>
    <xf numFmtId="168" fontId="7" fillId="0" borderId="0" xfId="1060" applyNumberFormat="1" applyFont="1" applyFill="1" applyBorder="1" applyAlignment="1">
      <alignment horizontal="right"/>
    </xf>
    <xf numFmtId="9" fontId="7" fillId="0" borderId="0" xfId="1654" applyFont="1" applyFill="1" applyBorder="1" applyAlignment="1">
      <alignment horizontal="right"/>
    </xf>
    <xf numFmtId="0" fontId="4" fillId="0" borderId="5" xfId="0" applyFont="1" applyFill="1" applyBorder="1" applyAlignment="1">
      <alignment horizontal="center" vertical="center"/>
    </xf>
    <xf numFmtId="9" fontId="4" fillId="0" borderId="5" xfId="1639" applyNumberFormat="1" applyFont="1" applyFill="1" applyBorder="1" applyAlignment="1">
      <alignment horizontal="center" vertical="center"/>
    </xf>
    <xf numFmtId="0" fontId="4" fillId="0" borderId="0" xfId="0" applyFont="1" applyFill="1" applyAlignment="1">
      <alignment horizontal="right"/>
    </xf>
    <xf numFmtId="0" fontId="4" fillId="0" borderId="0" xfId="0" applyFont="1" applyAlignment="1">
      <alignment horizontal="right"/>
    </xf>
    <xf numFmtId="0" fontId="3" fillId="0" borderId="0" xfId="0" applyFont="1" applyFill="1" applyAlignment="1">
      <alignment horizontal="right"/>
    </xf>
    <xf numFmtId="175" fontId="4" fillId="0" borderId="0" xfId="0" applyNumberFormat="1" applyFont="1" applyFill="1" applyAlignment="1">
      <alignment horizontal="left"/>
    </xf>
    <xf numFmtId="43" fontId="4" fillId="0" borderId="0" xfId="0" applyNumberFormat="1" applyFont="1" applyFill="1" applyAlignment="1">
      <alignment horizontal="left"/>
    </xf>
    <xf numFmtId="0" fontId="10" fillId="0" borderId="0" xfId="0" applyFont="1" applyFill="1" applyAlignment="1">
      <alignment horizontal="left" vertical="top" wrapText="1"/>
    </xf>
    <xf numFmtId="168" fontId="4" fillId="0" borderId="0" xfId="0" applyNumberFormat="1" applyFont="1" applyFill="1" applyBorder="1" applyAlignment="1">
      <alignment/>
    </xf>
    <xf numFmtId="0" fontId="4" fillId="0" borderId="5" xfId="0" applyFont="1" applyFill="1" applyBorder="1" applyAlignment="1">
      <alignment horizontal="left" vertical="center"/>
    </xf>
    <xf numFmtId="39" fontId="10" fillId="0" borderId="0" xfId="0" applyNumberFormat="1" applyFont="1" applyFill="1" applyBorder="1" applyAlignment="1">
      <alignment horizontal="left"/>
    </xf>
    <xf numFmtId="3" fontId="4" fillId="0" borderId="0" xfId="0" applyNumberFormat="1" applyFont="1" applyAlignment="1">
      <alignment horizontal="left" vertical="top" wrapText="1"/>
    </xf>
    <xf numFmtId="0" fontId="4" fillId="0" borderId="0" xfId="0" applyFont="1" applyFill="1" applyAlignment="1">
      <alignment horizontal="left" vertical="top" wrapText="1"/>
    </xf>
    <xf numFmtId="3" fontId="4" fillId="0" borderId="22" xfId="0" applyNumberFormat="1" applyFont="1" applyFill="1" applyBorder="1" applyAlignment="1">
      <alignment horizontal="right" vertical="center"/>
    </xf>
    <xf numFmtId="172" fontId="4" fillId="0" borderId="0" xfId="0" applyNumberFormat="1" applyFont="1" applyFill="1" applyAlignment="1">
      <alignment horizontal="right"/>
    </xf>
    <xf numFmtId="172" fontId="4" fillId="0" borderId="0" xfId="1639" applyNumberFormat="1" applyFont="1" applyFill="1" applyAlignment="1">
      <alignment horizontal="right"/>
    </xf>
    <xf numFmtId="171" fontId="4" fillId="0" borderId="22" xfId="0" applyNumberFormat="1" applyFont="1" applyFill="1" applyBorder="1" applyAlignment="1">
      <alignment horizontal="right" vertical="center"/>
    </xf>
    <xf numFmtId="172" fontId="4" fillId="0" borderId="0" xfId="0" applyNumberFormat="1" applyFont="1" applyFill="1" applyBorder="1" applyAlignment="1">
      <alignment horizontal="center"/>
    </xf>
    <xf numFmtId="172" fontId="4" fillId="0" borderId="0" xfId="1639" applyNumberFormat="1" applyFont="1" applyFill="1" applyBorder="1" applyAlignment="1">
      <alignment horizontal="center" vertical="center"/>
    </xf>
    <xf numFmtId="0" fontId="0" fillId="0" borderId="0" xfId="0" applyFont="1" applyFill="1" applyAlignment="1">
      <alignment/>
    </xf>
    <xf numFmtId="0" fontId="4" fillId="0" borderId="0" xfId="0" applyFont="1" applyFill="1" applyBorder="1" applyAlignment="1">
      <alignment horizontal="left" vertical="center"/>
    </xf>
    <xf numFmtId="3" fontId="4" fillId="0" borderId="0" xfId="0" applyNumberFormat="1" applyFont="1" applyFill="1" applyBorder="1" applyAlignment="1">
      <alignment horizontal="left"/>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left" vertical="center"/>
    </xf>
    <xf numFmtId="313" fontId="4" fillId="0" borderId="0" xfId="1639" applyNumberFormat="1" applyFont="1" applyFill="1" applyAlignment="1">
      <alignment horizontal="center" vertical="center"/>
    </xf>
    <xf numFmtId="172" fontId="4" fillId="0" borderId="0" xfId="0" applyNumberFormat="1" applyFont="1" applyFill="1" applyBorder="1" applyAlignment="1">
      <alignment horizontal="left"/>
    </xf>
    <xf numFmtId="0" fontId="3" fillId="0" borderId="5" xfId="0" applyFont="1" applyFill="1" applyBorder="1" applyAlignment="1">
      <alignment horizontal="left"/>
    </xf>
    <xf numFmtId="0" fontId="4" fillId="0" borderId="5" xfId="0" applyFont="1" applyFill="1" applyBorder="1" applyAlignment="1">
      <alignment horizontal="left"/>
    </xf>
    <xf numFmtId="3" fontId="3" fillId="0" borderId="5" xfId="0" applyNumberFormat="1" applyFont="1" applyFill="1" applyBorder="1" applyAlignment="1">
      <alignment horizontal="left"/>
    </xf>
    <xf numFmtId="0" fontId="3" fillId="0" borderId="0" xfId="0" applyFont="1" applyFill="1" applyBorder="1" applyAlignment="1">
      <alignment horizontal="left"/>
    </xf>
    <xf numFmtId="9" fontId="4" fillId="0" borderId="0" xfId="1639" applyNumberFormat="1" applyFont="1" applyFill="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168" fontId="0" fillId="0" borderId="0" xfId="0" applyNumberFormat="1" applyFont="1" applyFill="1" applyBorder="1" applyAlignment="1">
      <alignment/>
    </xf>
    <xf numFmtId="0" fontId="4" fillId="0" borderId="0" xfId="0" applyFont="1" applyBorder="1" applyAlignment="1">
      <alignment horizontal="left"/>
    </xf>
    <xf numFmtId="172" fontId="4" fillId="0" borderId="0" xfId="0" applyNumberFormat="1" applyFont="1" applyFill="1" applyBorder="1" applyAlignment="1">
      <alignment horizontal="right"/>
    </xf>
    <xf numFmtId="172" fontId="4" fillId="0" borderId="0" xfId="1673" applyNumberFormat="1" applyFont="1" applyFill="1" applyBorder="1" applyAlignment="1">
      <alignment horizontal="left"/>
    </xf>
    <xf numFmtId="0" fontId="4" fillId="0" borderId="52" xfId="0" applyFont="1" applyFill="1" applyBorder="1" applyAlignment="1">
      <alignment/>
    </xf>
    <xf numFmtId="172" fontId="4" fillId="0" borderId="0" xfId="1639" applyNumberFormat="1" applyFont="1" applyFill="1" applyBorder="1" applyAlignment="1">
      <alignment horizontal="right"/>
    </xf>
    <xf numFmtId="3" fontId="9" fillId="0" borderId="0" xfId="0" applyNumberFormat="1" applyFont="1" applyFill="1" applyAlignment="1" quotePrefix="1">
      <alignment horizontal="left" vertical="center"/>
    </xf>
    <xf numFmtId="172" fontId="4" fillId="0" borderId="44" xfId="1639" applyNumberFormat="1" applyFont="1" applyFill="1" applyBorder="1" applyAlignment="1">
      <alignment horizontal="right"/>
    </xf>
    <xf numFmtId="9" fontId="4" fillId="0" borderId="0" xfId="0" applyNumberFormat="1" applyFont="1" applyFill="1" applyBorder="1" applyAlignment="1">
      <alignment horizontal="right"/>
    </xf>
    <xf numFmtId="0" fontId="4" fillId="0" borderId="0" xfId="0" applyFont="1" applyFill="1" applyAlignment="1">
      <alignment horizontal="left" vertical="center"/>
    </xf>
    <xf numFmtId="0" fontId="4" fillId="0" borderId="53" xfId="0" applyFont="1" applyBorder="1" applyAlignment="1">
      <alignment/>
    </xf>
    <xf numFmtId="0" fontId="4" fillId="0" borderId="54" xfId="0" applyFont="1" applyBorder="1" applyAlignment="1">
      <alignment/>
    </xf>
    <xf numFmtId="216" fontId="4" fillId="0" borderId="0" xfId="0" applyNumberFormat="1" applyFont="1" applyFill="1" applyAlignment="1">
      <alignment/>
    </xf>
    <xf numFmtId="172" fontId="4" fillId="0" borderId="0" xfId="1639" applyNumberFormat="1" applyFont="1" applyFill="1" applyBorder="1" applyAlignment="1">
      <alignment horizontal="left" vertical="center"/>
    </xf>
    <xf numFmtId="3" fontId="4" fillId="0" borderId="0" xfId="0" applyNumberFormat="1" applyFont="1" applyFill="1" applyAlignment="1">
      <alignment horizontal="right" vertical="center"/>
    </xf>
    <xf numFmtId="314" fontId="4" fillId="0" borderId="0" xfId="1639" applyNumberFormat="1" applyFont="1" applyFill="1" applyBorder="1" applyAlignment="1">
      <alignment horizontal="left" vertical="center"/>
    </xf>
    <xf numFmtId="172" fontId="4" fillId="0" borderId="0" xfId="993" applyNumberFormat="1" applyFont="1" applyFill="1" applyAlignment="1">
      <alignment horizontal="left"/>
    </xf>
    <xf numFmtId="172" fontId="4" fillId="0" borderId="0" xfId="1060" applyNumberFormat="1" applyFont="1" applyFill="1" applyBorder="1" applyAlignment="1">
      <alignment horizontal="left"/>
    </xf>
    <xf numFmtId="3" fontId="4" fillId="0" borderId="0" xfId="1639" applyNumberFormat="1" applyFont="1" applyFill="1" applyAlignment="1">
      <alignment horizontal="left"/>
    </xf>
    <xf numFmtId="172" fontId="4" fillId="0" borderId="0" xfId="1639" applyNumberFormat="1" applyFont="1" applyFill="1" applyAlignment="1">
      <alignment horizontal="left"/>
    </xf>
    <xf numFmtId="0" fontId="4" fillId="0" borderId="0" xfId="993" applyNumberFormat="1" applyFont="1" applyFill="1" applyAlignment="1">
      <alignment horizontal="left"/>
    </xf>
    <xf numFmtId="3" fontId="4" fillId="0" borderId="0" xfId="993" applyNumberFormat="1" applyFont="1" applyFill="1" applyAlignment="1">
      <alignment horizontal="left"/>
    </xf>
    <xf numFmtId="0" fontId="10" fillId="0" borderId="0" xfId="0" applyFont="1" applyAlignment="1">
      <alignment/>
    </xf>
    <xf numFmtId="0" fontId="160" fillId="0" borderId="0" xfId="0" applyFont="1" applyFill="1" applyAlignment="1">
      <alignment horizontal="left" vertical="center"/>
    </xf>
    <xf numFmtId="0" fontId="4" fillId="0" borderId="5" xfId="0" applyFont="1" applyFill="1" applyBorder="1" applyAlignment="1">
      <alignment horizontal="right" vertical="center"/>
    </xf>
    <xf numFmtId="39" fontId="10" fillId="0" borderId="0" xfId="0" applyNumberFormat="1" applyFont="1" applyFill="1" applyBorder="1" applyAlignment="1">
      <alignment vertical="top" wrapText="1"/>
    </xf>
    <xf numFmtId="0" fontId="179" fillId="0" borderId="0" xfId="0" applyFont="1" applyFill="1" applyAlignment="1">
      <alignment horizontal="left" vertical="top" wrapText="1" readingOrder="1"/>
    </xf>
    <xf numFmtId="39" fontId="10" fillId="0" borderId="0" xfId="0" applyNumberFormat="1" applyFont="1" applyFill="1" applyBorder="1" applyAlignment="1">
      <alignment horizontal="left" vertical="top" wrapText="1"/>
    </xf>
    <xf numFmtId="0" fontId="10" fillId="0" borderId="0" xfId="0" applyNumberFormat="1" applyFont="1" applyFill="1" applyBorder="1" applyAlignment="1">
      <alignment vertical="top" wrapText="1"/>
    </xf>
    <xf numFmtId="0" fontId="10" fillId="0" borderId="0" xfId="0" applyNumberFormat="1" applyFont="1" applyFill="1" applyBorder="1" applyAlignment="1">
      <alignment horizontal="left" vertical="top" wrapText="1"/>
    </xf>
    <xf numFmtId="39" fontId="6" fillId="0" borderId="0" xfId="0" applyNumberFormat="1" applyFont="1" applyFill="1" applyBorder="1" applyAlignment="1">
      <alignment wrapText="1"/>
    </xf>
    <xf numFmtId="39" fontId="10" fillId="0" borderId="0" xfId="0" applyNumberFormat="1" applyFont="1" applyFill="1" applyBorder="1" applyAlignment="1">
      <alignment horizontal="justify" vertical="top" wrapText="1"/>
    </xf>
    <xf numFmtId="39" fontId="3" fillId="0" borderId="0" xfId="0" applyNumberFormat="1" applyFont="1" applyFill="1" applyBorder="1" applyAlignment="1">
      <alignment horizontal="left" vertical="top" wrapText="1"/>
    </xf>
    <xf numFmtId="10" fontId="4" fillId="0" borderId="0" xfId="1639" applyNumberFormat="1" applyFont="1" applyFill="1" applyAlignment="1">
      <alignment horizontal="center" vertical="center"/>
    </xf>
  </cellXfs>
  <cellStyles count="1976">
    <cellStyle name="Normal" xfId="0"/>
    <cellStyle name="_xFFFF__x0005__xFFFF_" xfId="15"/>
    <cellStyle name="-" xfId="16"/>
    <cellStyle name="$横付け" xfId="17"/>
    <cellStyle name="%" xfId="18"/>
    <cellStyle name="% Dilution" xfId="19"/>
    <cellStyle name=";;;" xfId="20"/>
    <cellStyle name="??" xfId="21"/>
    <cellStyle name="?_x0005_?" xfId="22"/>
    <cellStyle name="?? [0.00]_Analysis of Loans" xfId="23"/>
    <cellStyle name="?? [0]_VERA" xfId="24"/>
    <cellStyle name="?? 2" xfId="25"/>
    <cellStyle name="?? 3" xfId="26"/>
    <cellStyle name="?? 4" xfId="27"/>
    <cellStyle name="?? 5" xfId="28"/>
    <cellStyle name="?? 6" xfId="29"/>
    <cellStyle name="?? 6 2" xfId="30"/>
    <cellStyle name="?? 7" xfId="31"/>
    <cellStyle name="?? 8" xfId="32"/>
    <cellStyle name="???" xfId="33"/>
    <cellStyle name="????" xfId="34"/>
    <cellStyle name="???? [0.00]_Analysis of Loans" xfId="35"/>
    <cellStyle name="?????_VERA" xfId="36"/>
    <cellStyle name="????_Analysis of Loans" xfId="37"/>
    <cellStyle name="???_2007.04.05 Minamishinagawa Access Building - Map &amp; Pictures" xfId="38"/>
    <cellStyle name="??_#01 Akaska1" xfId="39"/>
    <cellStyle name="?・a??e [0.00]_Book2" xfId="40"/>
    <cellStyle name="?・a??e_Book2]_" xfId="41"/>
    <cellStyle name="?…?a唇?e [0.00]_Book2" xfId="42"/>
    <cellStyle name="?…?a唇?e_Book2]_" xfId="43"/>
    <cellStyle name="?BP" xfId="44"/>
    <cellStyle name="?JY" xfId="45"/>
    <cellStyle name="?W?_?f??^ (2)\?" xfId="46"/>
    <cellStyle name="?W準_?f?o‘O‰n香EAL_B" xfId="47"/>
    <cellStyle name="\ JY" xfId="48"/>
    <cellStyle name="_%(SignOnly)" xfId="49"/>
    <cellStyle name="_%(SignOnly)_PC BCDR 03-0307r1" xfId="50"/>
    <cellStyle name="_%(SignOnly)_PC BCDR 03-0307r1_Map of Japan New City" xfId="51"/>
    <cellStyle name="_%(SignOnly)_PC BCDR 03-0307r1_Map of Japan(4.10)" xfId="52"/>
    <cellStyle name="_%(SignOnly)_P-Tax" xfId="53"/>
    <cellStyle name="_%(SignSpaceOnly)" xfId="54"/>
    <cellStyle name="_%(SignSpaceOnly)_PC BCDR 03-0307r1" xfId="55"/>
    <cellStyle name="_%(SignSpaceOnly)_P-Tax" xfId="56"/>
    <cellStyle name="_1表紙～ｺﾝｾﾌﾟﾄ" xfId="57"/>
    <cellStyle name="_1表紙～ｺﾝｾﾌﾟﾄ.xls グラフ 16" xfId="58"/>
    <cellStyle name="_1表紙～ｺﾝｾﾌﾟﾄ.xls グラフ 16_1" xfId="59"/>
    <cellStyle name="_1表紙～ｺﾝｾﾌﾟﾄ.xls グラフ 16_2" xfId="60"/>
    <cellStyle name="_1表紙～ｺﾝｾﾌﾟﾄ.xls グラフ 16_3" xfId="61"/>
    <cellStyle name="_1表紙～ｺﾝｾﾌﾟﾄ_1" xfId="62"/>
    <cellStyle name="_1表紙～ｺﾝｾﾌﾟﾄ_2" xfId="63"/>
    <cellStyle name="_1表紙～ｺﾝｾﾌﾟﾄ_3" xfId="64"/>
    <cellStyle name="_２管理提案（目次）" xfId="65"/>
    <cellStyle name="_２管理提案（目次）_1" xfId="66"/>
    <cellStyle name="_２管理提案（目次）_2" xfId="67"/>
    <cellStyle name="_２管理提案（目次）_3" xfId="68"/>
    <cellStyle name="_４管理提案（ｺﾝｾﾌﾟﾄ）" xfId="69"/>
    <cellStyle name="_４管理提案（ｺﾝｾﾌﾟﾄ）_1" xfId="70"/>
    <cellStyle name="_４管理提案（ｺﾝｾﾌﾟﾄ）_2" xfId="71"/>
    <cellStyle name="_４管理提案（ｺﾝｾﾌﾟﾄ）_3" xfId="72"/>
    <cellStyle name="_５管理提案（教育体制）" xfId="73"/>
    <cellStyle name="_５管理提案（教育体制）_1" xfId="74"/>
    <cellStyle name="_５管理提案（教育体制）_2" xfId="75"/>
    <cellStyle name="_５管理提案（教育体制）_3" xfId="76"/>
    <cellStyle name="_６管理提案（年間計画）" xfId="77"/>
    <cellStyle name="_６管理提案（年間計画）_1" xfId="78"/>
    <cellStyle name="_６管理提案（年間計画）_2" xfId="79"/>
    <cellStyle name="_６管理提案（年間計画）_3" xfId="80"/>
    <cellStyle name="_７管理提案（ﾊﾞｯｸｱｯﾌﾟ）" xfId="81"/>
    <cellStyle name="_７管理提案（ﾊﾞｯｸｱｯﾌﾟ）_1" xfId="82"/>
    <cellStyle name="_７管理提案（ﾊﾞｯｸｱｯﾌﾟ）_2" xfId="83"/>
    <cellStyle name="_７管理提案（ﾊﾞｯｸｱｯﾌﾟ）_3" xfId="84"/>
    <cellStyle name="_８管理提案（長期１）" xfId="85"/>
    <cellStyle name="_８管理提案（長期１）_1" xfId="86"/>
    <cellStyle name="_８管理提案（長期１）_2" xfId="87"/>
    <cellStyle name="_８管理提案（長期１）_3" xfId="88"/>
    <cellStyle name="_８管理提案(長期２)" xfId="89"/>
    <cellStyle name="_９管理提案（管理方式）" xfId="90"/>
    <cellStyle name="_９管理提案（管理方式）_1" xfId="91"/>
    <cellStyle name="_９管理提案（管理方式）_2" xfId="92"/>
    <cellStyle name="_９管理提案（管理方式）_3" xfId="93"/>
    <cellStyle name="_Comma" xfId="94"/>
    <cellStyle name="_Comma 2" xfId="95"/>
    <cellStyle name="_Comma_061026　物件リスト" xfId="96"/>
    <cellStyle name="_Comma_061115　物件鑑定等（NSC送付）" xfId="97"/>
    <cellStyle name="_Comma_07_Sumi Trust Prorationのみ（１０月３０日）肥後橋修正後最終版" xfId="98"/>
    <cellStyle name="_Comma_070805 Cosmo Plaza 5 Year CF" xfId="99"/>
    <cellStyle name="_Comma_3_CF_Hiroshima_Sanei_2" xfId="100"/>
    <cellStyle name="_Comma_30パレス経堂（テンプレート：9.18）" xfId="101"/>
    <cellStyle name="_Comma_6_cf_Tsukushino 1" xfId="102"/>
    <cellStyle name="_Comma_Bulk Sale AIG (03.27.02)" xfId="103"/>
    <cellStyle name="_Comma_Chiyoda Rollup (7.31.01)" xfId="104"/>
    <cellStyle name="_Comma_Cypress Budget and All in Cost" xfId="105"/>
    <cellStyle name="_Comma_Data Sheet" xfId="106"/>
    <cellStyle name="_Comma_Gotanda" xfId="107"/>
    <cellStyle name="_Comma_Hotel Baden Roppongi UW Final" xfId="108"/>
    <cellStyle name="_Comma_Ishin Narita 2nd" xfId="109"/>
    <cellStyle name="_Comma_Kyoto Royal Hotel Final" xfId="110"/>
    <cellStyle name="_Comma_PC BCDR 03-0307r1" xfId="111"/>
    <cellStyle name="_Comma_Project Voda_Appraised Value" xfId="112"/>
    <cellStyle name="_Comma_Promote Model (10.14.02) - in the works_V2 (sent to Gibson 10.21.02)" xfId="113"/>
    <cellStyle name="_Comma_P-Tax" xfId="114"/>
    <cellStyle name="_Comma_Residential Bulk Strat_08.16.2005" xfId="115"/>
    <cellStyle name="_Comma_Sensitivity" xfId="116"/>
    <cellStyle name="_Comma_Shinbashi Atagoyama Tokyu Inn Uw" xfId="117"/>
    <cellStyle name="_Comma_Sumi Life (08.19.01)" xfId="118"/>
    <cellStyle name="_Comma_TH-0001_Asaka" xfId="119"/>
    <cellStyle name="_Comma_TH-0007_Iriya" xfId="120"/>
    <cellStyle name="_Comma_TH-0017_Oizumi" xfId="121"/>
    <cellStyle name="_Comma_TH-0035_Kita Kogane" xfId="122"/>
    <cellStyle name="_Comma_TH-0049_Komagome" xfId="123"/>
    <cellStyle name="_Comma_TH-0053_Sagami Otuka" xfId="124"/>
    <cellStyle name="_Comma_TH-0069_Tsudanuma" xfId="125"/>
    <cellStyle name="_Comma_TH-0071_Tsurukawa" xfId="126"/>
    <cellStyle name="_Comma_TH-0075_NishiHachioji" xfId="127"/>
    <cellStyle name="_Comma_TH-0077_Nishifunabashi" xfId="128"/>
    <cellStyle name="_Comma_TH-0096_Mitsukyo" xfId="129"/>
    <cellStyle name="_Comma_Tokyu2002_portfolio_2" xfId="130"/>
    <cellStyle name="_Comma_UW" xfId="131"/>
    <cellStyle name="_Comma_ﾄｰﾒﾝ富山（試算)" xfId="132"/>
    <cellStyle name="_Comma_三軒茶屋(試算)" xfId="133"/>
    <cellStyle name="_Comma_査定書ホリイビル(修正版）" xfId="134"/>
    <cellStyle name="_Comma_要町（試算)" xfId="135"/>
    <cellStyle name="_Currency" xfId="136"/>
    <cellStyle name="_Currency 2" xfId="137"/>
    <cellStyle name="_Currency 3" xfId="138"/>
    <cellStyle name="_Currency_●4月度札幌泉ビル（20070301-20070331）" xfId="139"/>
    <cellStyle name="_Currency_061026　物件リスト" xfId="140"/>
    <cellStyle name="_Currency_061115　物件鑑定等（NSC送付）" xfId="141"/>
    <cellStyle name="_Currency_07_Sumi Trust Prorationのみ（１０月３０日）肥後橋修正後最終版" xfId="142"/>
    <cellStyle name="_Currency_070805 Cosmo Plaza 5 Year CF" xfId="143"/>
    <cellStyle name="_Currency_3_CF_Hiroshima_Sanei_2" xfId="144"/>
    <cellStyle name="_Currency_3_CF_Hiroshima_Sanei_2 2" xfId="145"/>
    <cellStyle name="_Currency_30パレス経堂（テンプレート：9.18）" xfId="146"/>
    <cellStyle name="_Currency_30パレス経堂（テンプレート：9.18） 2" xfId="147"/>
    <cellStyle name="_Currency_30パレス経堂（テンプレート：9.18）_Ebara Forecast 2007 &amp; 2008 JP_final" xfId="148"/>
    <cellStyle name="_Currency_30パレス経堂（テンプレート：9.18）_Ebara Forecast 2007 &amp; 2008 JP_final 2" xfId="149"/>
    <cellStyle name="_Currency_30パレス経堂（テンプレート：9.18）_PC BCDR 03-0307r1" xfId="150"/>
    <cellStyle name="_Currency_30パレス経堂（テンプレート：9.18）_P-Tax" xfId="151"/>
    <cellStyle name="_Currency_30パレス経堂（テンプレート：9.18）_P-Tax 2" xfId="152"/>
    <cellStyle name="_Currency_5 9 DSCR" xfId="153"/>
    <cellStyle name="_Currency_6 9 DSCR" xfId="154"/>
    <cellStyle name="_Currency_6_cf_Tsukushino 1" xfId="155"/>
    <cellStyle name="_Currency_6_cf_Tsukushino 1 2" xfId="156"/>
    <cellStyle name="_Currency_Asset List" xfId="157"/>
    <cellStyle name="_Currency_Asset List 2" xfId="158"/>
    <cellStyle name="_Currency_Book1" xfId="159"/>
    <cellStyle name="_Currency_Book1 2" xfId="160"/>
    <cellStyle name="_Currency_Book1_Ebara Forecast 2007 &amp; 2008 JP_final" xfId="161"/>
    <cellStyle name="_Currency_Book1_Ebara Forecast 2007 &amp; 2008 JP_final 2" xfId="162"/>
    <cellStyle name="_Currency_Bulk Sale AIG (03.27.02)" xfId="163"/>
    <cellStyle name="_Currency_Cap DSCR  Mar 1" xfId="164"/>
    <cellStyle name="_Currency_Cap DSCR  Mar 1 2" xfId="165"/>
    <cellStyle name="_Currency_Cap DSCR  Mar 1_Ebara Forecast 2007 &amp; 2008 JP_final" xfId="166"/>
    <cellStyle name="_Currency_Cap DSCR  Mar 1_Ebara Forecast 2007 &amp; 2008 JP_final 2" xfId="167"/>
    <cellStyle name="_Currency_Chiyoda Rollup (7.31.01)" xfId="168"/>
    <cellStyle name="_Currency_Cypress Budget and All in Cost" xfId="169"/>
    <cellStyle name="_Currency_Data Sheet" xfId="170"/>
    <cellStyle name="_Currency_Data Sheet 2" xfId="171"/>
    <cellStyle name="_Currency_Ebara Forecast 2007 &amp; 2008 JP_final" xfId="172"/>
    <cellStyle name="_Currency_Ebara Forecast 2007 &amp; 2008 JP_final 2" xfId="173"/>
    <cellStyle name="_Currency_Gotanda" xfId="174"/>
    <cellStyle name="_Currency_Hotel Baden Roppongi UW Final" xfId="175"/>
    <cellStyle name="_Currency_Ishin Narita 2nd" xfId="176"/>
    <cellStyle name="_Currency_Kyoto Royal Hotel Final" xfId="177"/>
    <cellStyle name="_Currency_MDL (Delaware) LLC" xfId="178"/>
    <cellStyle name="_Currency_MDL (Delaware) LLC_Chiyoda Rollup (7.31.01)" xfId="179"/>
    <cellStyle name="_Currency_MDL (Delaware) LLC_Sumi Life (08.19.01)" xfId="180"/>
    <cellStyle name="_Currency_Project Voda_Appraised Value" xfId="181"/>
    <cellStyle name="_Currency_Promote Model (10.14.02) - in the works_V2 (sent to Gibson 10.21.02)" xfId="182"/>
    <cellStyle name="_Currency_Promote Model (10.14.02) - in the works_V2 (sent to Gibson 10.21.02) 2" xfId="183"/>
    <cellStyle name="_Currency_Proration_Kobelco" xfId="184"/>
    <cellStyle name="_Currency_P-Tax" xfId="185"/>
    <cellStyle name="_Currency_Rent roll 6  31" xfId="186"/>
    <cellStyle name="_Currency_Rent roll 6  31 2" xfId="187"/>
    <cellStyle name="_Currency_Rent roll 6  31_Ebara Forecast 2007 &amp; 2008 JP_final" xfId="188"/>
    <cellStyle name="_Currency_Rent roll 6  31_Ebara Forecast 2007 &amp; 2008 JP_final 2" xfId="189"/>
    <cellStyle name="_Currency_Residential Bulk Strat_08.16.2005" xfId="190"/>
    <cellStyle name="_Currency_Residential Bulk Strat_08.16.2005 2" xfId="191"/>
    <cellStyle name="_Currency_revised loan allocation 5 01" xfId="192"/>
    <cellStyle name="_Currency_Roll Up Import" xfId="193"/>
    <cellStyle name="_Currency_Sensitivity" xfId="194"/>
    <cellStyle name="_Currency_Sensitivity 2" xfId="195"/>
    <cellStyle name="_Currency_Shinbashi Atagoyama Tokyu Inn Uw" xfId="196"/>
    <cellStyle name="_Currency_StackingPlan（浜松町）" xfId="197"/>
    <cellStyle name="_Currency_Sumi Life (08.19.01)" xfId="198"/>
    <cellStyle name="_Currency_TH-0001_Asaka" xfId="199"/>
    <cellStyle name="_Currency_TH-0001_Asaka 2" xfId="200"/>
    <cellStyle name="_Currency_TH-0007_Iriya" xfId="201"/>
    <cellStyle name="_Currency_TH-0007_Iriya 2" xfId="202"/>
    <cellStyle name="_Currency_TH-0017_Oizumi" xfId="203"/>
    <cellStyle name="_Currency_TH-0017_Oizumi 2" xfId="204"/>
    <cellStyle name="_Currency_TH-0035_Kita Kogane" xfId="205"/>
    <cellStyle name="_Currency_TH-0035_Kita Kogane 2" xfId="206"/>
    <cellStyle name="_Currency_TH-0049_Komagome" xfId="207"/>
    <cellStyle name="_Currency_TH-0049_Komagome 2" xfId="208"/>
    <cellStyle name="_Currency_TH-0053_Sagami Otuka" xfId="209"/>
    <cellStyle name="_Currency_TH-0053_Sagami Otuka 2" xfId="210"/>
    <cellStyle name="_Currency_TH-0069_Tsudanuma" xfId="211"/>
    <cellStyle name="_Currency_TH-0069_Tsudanuma 2" xfId="212"/>
    <cellStyle name="_Currency_TH-0071_Tsurukawa" xfId="213"/>
    <cellStyle name="_Currency_TH-0071_Tsurukawa 2" xfId="214"/>
    <cellStyle name="_Currency_TH-0075_NishiHachioji" xfId="215"/>
    <cellStyle name="_Currency_TH-0075_NishiHachioji 2" xfId="216"/>
    <cellStyle name="_Currency_TH-0077_Nishifunabashi" xfId="217"/>
    <cellStyle name="_Currency_TH-0077_Nishifunabashi 2" xfId="218"/>
    <cellStyle name="_Currency_TH-0096_Mitsukyo" xfId="219"/>
    <cellStyle name="_Currency_TH-0096_Mitsukyo 2" xfId="220"/>
    <cellStyle name="_Currency_Tokyu2002_portfolio_2" xfId="221"/>
    <cellStyle name="_Currency_Tokyu2002_portfolio_2 2" xfId="222"/>
    <cellStyle name="_Currency_UW" xfId="223"/>
    <cellStyle name="_Currency_ﾄｰﾒﾝ富山（試算)" xfId="224"/>
    <cellStyle name="_Currency_ﾄｰﾒﾝ富山（試算) 2" xfId="225"/>
    <cellStyle name="_Currency_三軒茶屋(試算)" xfId="226"/>
    <cellStyle name="_Currency_三軒茶屋(試算) 2" xfId="227"/>
    <cellStyle name="_Currency_査定書ホリイビル(修正版）" xfId="228"/>
    <cellStyle name="_Currency_査定書ホリイビル(修正版） 2" xfId="229"/>
    <cellStyle name="_Currency_要町（試算)" xfId="230"/>
    <cellStyle name="_Currency_要町（試算) 2" xfId="231"/>
    <cellStyle name="_CurrencySpace" xfId="232"/>
    <cellStyle name="_CurrencySpace 2" xfId="233"/>
    <cellStyle name="_CurrencySpace_061026　物件リスト" xfId="234"/>
    <cellStyle name="_CurrencySpace_061115　物件鑑定等（NSC送付）" xfId="235"/>
    <cellStyle name="_CurrencySpace_07_Sumi Trust Prorationのみ（１０月３０日）肥後橋修正後最終版" xfId="236"/>
    <cellStyle name="_CurrencySpace_070805 Cosmo Plaza 5 Year CF" xfId="237"/>
    <cellStyle name="_CurrencySpace_3_CF_Hiroshima_Sanei_2" xfId="238"/>
    <cellStyle name="_CurrencySpace_30パレス経堂（テンプレート：9.18）" xfId="239"/>
    <cellStyle name="_CurrencySpace_6_cf_Tsukushino 1" xfId="240"/>
    <cellStyle name="_CurrencySpace_Bulk Sale AIG (03.27.02)" xfId="241"/>
    <cellStyle name="_CurrencySpace_Cypress Budget and All in Cost" xfId="242"/>
    <cellStyle name="_CurrencySpace_Data Sheet" xfId="243"/>
    <cellStyle name="_CurrencySpace_Gotanda" xfId="244"/>
    <cellStyle name="_CurrencySpace_Hotel Baden Roppongi UW Final" xfId="245"/>
    <cellStyle name="_CurrencySpace_Ishin Narita 2nd" xfId="246"/>
    <cellStyle name="_CurrencySpace_Kyoto Royal Hotel Final" xfId="247"/>
    <cellStyle name="_CurrencySpace_Project Voda_Appraised Value" xfId="248"/>
    <cellStyle name="_CurrencySpace_Promote Model (10.14.02) - in the works_V2 (sent to Gibson 10.21.02)" xfId="249"/>
    <cellStyle name="_CurrencySpace_P-Tax" xfId="250"/>
    <cellStyle name="_CurrencySpace_Residential Bulk Strat_08.16.2005" xfId="251"/>
    <cellStyle name="_CurrencySpace_Sensitivity" xfId="252"/>
    <cellStyle name="_CurrencySpace_Shinbashi Atagoyama Tokyu Inn Uw" xfId="253"/>
    <cellStyle name="_CurrencySpace_TH-0001_Asaka" xfId="254"/>
    <cellStyle name="_CurrencySpace_TH-0007_Iriya" xfId="255"/>
    <cellStyle name="_CurrencySpace_TH-0017_Oizumi" xfId="256"/>
    <cellStyle name="_CurrencySpace_TH-0035_Kita Kogane" xfId="257"/>
    <cellStyle name="_CurrencySpace_TH-0049_Komagome" xfId="258"/>
    <cellStyle name="_CurrencySpace_TH-0053_Sagami Otuka" xfId="259"/>
    <cellStyle name="_CurrencySpace_TH-0069_Tsudanuma" xfId="260"/>
    <cellStyle name="_CurrencySpace_TH-0071_Tsurukawa" xfId="261"/>
    <cellStyle name="_CurrencySpace_TH-0075_NishiHachioji" xfId="262"/>
    <cellStyle name="_CurrencySpace_TH-0077_Nishifunabashi" xfId="263"/>
    <cellStyle name="_CurrencySpace_TH-0096_Mitsukyo" xfId="264"/>
    <cellStyle name="_CurrencySpace_Tokyu2002_portfolio_2" xfId="265"/>
    <cellStyle name="_CurrencySpace_UW" xfId="266"/>
    <cellStyle name="_CurrencySpace_ﾄｰﾒﾝ富山（試算)" xfId="267"/>
    <cellStyle name="_CurrencySpace_三軒茶屋(試算)" xfId="268"/>
    <cellStyle name="_CurrencySpace_査定書ホリイビル(修正版）" xfId="269"/>
    <cellStyle name="_CurrencySpace_要町（試算)" xfId="270"/>
    <cellStyle name="_Euro" xfId="271"/>
    <cellStyle name="_Euro 2" xfId="272"/>
    <cellStyle name="_Euro_071103_Keypoint_Forecast_2007_&amp;_2008(1)" xfId="273"/>
    <cellStyle name="_Euro_071119 Cosmo Plaza Budget 2007 &amp; 2008 JPY" xfId="274"/>
    <cellStyle name="_Euro_071119 Cosmo Plaza Budget 2007 &amp; 2008 JPY 2" xfId="275"/>
    <cellStyle name="_Euro_071219 KeyPoint 2007 &amp; 08 Budget_08.01.23" xfId="276"/>
    <cellStyle name="_Euro_090710【Ｇａｒｅｌｉａ】PMReport_6月分final" xfId="277"/>
    <cellStyle name="_Euro_1 Financial Report - Jan 09" xfId="278"/>
    <cellStyle name="_Euro_10 Finance Reports - Oct 07" xfId="279"/>
    <cellStyle name="_Euro_10 -Financial Report - Oct 08" xfId="280"/>
    <cellStyle name="_Euro_11 Finance Reports - Nov 07" xfId="281"/>
    <cellStyle name="_Euro_11 Finance Reports - Nov 07 Revised" xfId="282"/>
    <cellStyle name="_Euro_12 Finance Reports - Dec 07" xfId="283"/>
    <cellStyle name="_Euro_12 Finance Reports - Dec 07 (Rev)" xfId="284"/>
    <cellStyle name="_Euro_12 Finance Reports - Dec 07 FINAL" xfId="285"/>
    <cellStyle name="_Euro_2 Finance Reports - Feb 08" xfId="286"/>
    <cellStyle name="_Euro_2 Financial Report - Feb 09" xfId="287"/>
    <cellStyle name="_Euro_3 Finance Reports - Mar 08" xfId="288"/>
    <cellStyle name="_Euro_3 Financial Report - Mar 09" xfId="289"/>
    <cellStyle name="_Euro_4 Finance Reports - APR 08" xfId="290"/>
    <cellStyle name="_Euro_4 Financial Report - Apr 09" xfId="291"/>
    <cellStyle name="_Euro_5 Finance Reports - May 08" xfId="292"/>
    <cellStyle name="_Euro_5 Finance Reports - May 08 (Revised)" xfId="293"/>
    <cellStyle name="_Euro_5 Financial Report - May 09" xfId="294"/>
    <cellStyle name="_Euro_55 Market St TS - Dec 07" xfId="295"/>
    <cellStyle name="_Euro_55 Market St TS - Dec 07 2" xfId="296"/>
    <cellStyle name="_Euro_55 Market St TS - Dec 07_1 Financial Report - Jan 09" xfId="297"/>
    <cellStyle name="_Euro_55 Market St TS - Dec 07_10 -Financial Report - Oct 08" xfId="298"/>
    <cellStyle name="_Euro_55 Market St TS - Dec 07_2 Financial Report - Feb 09" xfId="299"/>
    <cellStyle name="_Euro_55 Market St TS - Dec 07_3 Finance Reports - Mar 08" xfId="300"/>
    <cellStyle name="_Euro_55 Market St TS - Dec 07_3 Financial Report - Mar 09" xfId="301"/>
    <cellStyle name="_Euro_55 Market St TS - Dec 07_4 Finance Reports - APR 08" xfId="302"/>
    <cellStyle name="_Euro_55 Market St TS - Dec 07_4 Financial Report - Apr 09" xfId="303"/>
    <cellStyle name="_Euro_55 Market St TS - Dec 07_5 Finance Reports - May 08" xfId="304"/>
    <cellStyle name="_Euro_55 Market St TS - Dec 07_5 Finance Reports - May 08 (Revised)" xfId="305"/>
    <cellStyle name="_Euro_55 Market St TS - Dec 07_5 Financial Report - May 09" xfId="306"/>
    <cellStyle name="_Euro_55 Market St TS - Dec 07_55MKT -Financial Report - Sep 09(1)" xfId="307"/>
    <cellStyle name="_Euro_55 Market St TS - Dec 07_6 Finance Reports - Jun 08" xfId="308"/>
    <cellStyle name="_Euro_55 Market St TS - Dec 07_6 Financial Report - Jun 09" xfId="309"/>
    <cellStyle name="_Euro_55 Market St TS - Dec 07_7 Finance Reports - Jul 08 (Revised 2)" xfId="310"/>
    <cellStyle name="_Euro_55 Market St TS - Dec 07_7 Finance Reports - Jul 08 Revised" xfId="311"/>
    <cellStyle name="_Euro_55 Market St TS - Dec 07_8 -Finance Reports - Aug 08" xfId="312"/>
    <cellStyle name="_Euro_55 Market St TS - Dec 07_9 Financial Report - Sep 08" xfId="313"/>
    <cellStyle name="_Euro_55 Market St TS - Dec 07_Finance Reports - Jul 08" xfId="314"/>
    <cellStyle name="_Euro_55 Market St TS - Dec 07_Notes to Account - 0308 Final Result" xfId="315"/>
    <cellStyle name="_Euro_55 Market St TS - Dec 07_Notes to Account - 0308 Final Result_1 Financial Report - Jan 09" xfId="316"/>
    <cellStyle name="_Euro_55 Market St TS - Dec 07_Notes to Account - 0308 Final Result_10 -Financial Report - Oct 08" xfId="317"/>
    <cellStyle name="_Euro_55 Market St TS - Dec 07_Notes to Account - 0308 Final Result_2 Financial Report - Feb 09" xfId="318"/>
    <cellStyle name="_Euro_55 Market St TS - Dec 07_Notes to Account - 0308 Final Result_3 Financial Report - Mar 09" xfId="319"/>
    <cellStyle name="_Euro_55 Market St TS - Dec 07_Notes to Account - 0308 Final Result_4 Financial Report - Apr 09" xfId="320"/>
    <cellStyle name="_Euro_55 Market St TS - Dec 07_Notes to Account - 0308 Final Result_5 Financial Report - May 09" xfId="321"/>
    <cellStyle name="_Euro_55 Market St TS - Dec 07_Notes to Account - 0308 Final Result_55MKT -Financial Report - Sep 09(1)" xfId="322"/>
    <cellStyle name="_Euro_55 Market St TS - Dec 07_Notes to Account - 0308 Final Result_6 Financial Report - Jun 09" xfId="323"/>
    <cellStyle name="_Euro_55 Market St TS - Dec 07_Notes to Account - 0308 Final Result_7 Finance Reports - Jul 08 (Revised 2)" xfId="324"/>
    <cellStyle name="_Euro_55 Market St TS - Dec 07_Notes to Account - 0308 Final Result_7 Finance Reports - Jul 08 Revised" xfId="325"/>
    <cellStyle name="_Euro_55 Market St TS - Dec 07_Notes to Account - 0308 Final Result_8 -Finance Reports - Aug 08" xfId="326"/>
    <cellStyle name="_Euro_55 Market St TS - Dec 07_Notes to Account - 0308 Final Result_9 Financial Report - Sep 08" xfId="327"/>
    <cellStyle name="_Euro_55 Market St TS - Dec 07_Notes to Account - 0308 Final Result_Finance Reports - Jun 08" xfId="328"/>
    <cellStyle name="_Euro_55 Market St TS - Dec 07_Notes to Account - 0308 Final Result_Finance Reports - Jun 08_1 Financial Report - Jan 09" xfId="329"/>
    <cellStyle name="_Euro_55 Market St TS - Dec 07_Notes to Account - 0308 Final Result_Finance Reports - Jun 08_2 Financial Report - Feb 09" xfId="330"/>
    <cellStyle name="_Euro_55 Market St TS - Dec 07_Notes to Account - 0308 Final Result_Finance Reports - Jun 08_3 Financial Report - Mar 09" xfId="331"/>
    <cellStyle name="_Euro_55 Market St TS - Dec 07_Notes to Account - 0308 Final Result_Finance Reports - Jun 08_4 Financial Report - Apr 09" xfId="332"/>
    <cellStyle name="_Euro_55 Market St TS - Dec 07_Notes to Account - 0308 Final Result_Finance Reports - Jun 08_5 Financial Report - May 09" xfId="333"/>
    <cellStyle name="_Euro_55 Market St TS - Dec 07_Notes to Account - 0308 Final Result_Finance Reports - Jun 08_55MKT -Financial Report - Sep 09(1)" xfId="334"/>
    <cellStyle name="_Euro_55 Market St TS - Dec 07_Notes to Account - 0308 Final Result_Finance Reports - Jun 08_6 Financial Report - Jun 09" xfId="335"/>
    <cellStyle name="_Euro_55 Market St TS - Dec 07_Notes to Account - 0408" xfId="336"/>
    <cellStyle name="_Euro_55 Market St TS - Dec 07_Notes to Account - 0408_1 Financial Report - Jan 09" xfId="337"/>
    <cellStyle name="_Euro_55 Market St TS - Dec 07_Notes to Account - 0408_10 -Financial Report - Oct 08" xfId="338"/>
    <cellStyle name="_Euro_55 Market St TS - Dec 07_Notes to Account - 0408_2 Financial Report - Feb 09" xfId="339"/>
    <cellStyle name="_Euro_55 Market St TS - Dec 07_Notes to Account - 0408_3 Financial Report - Mar 09" xfId="340"/>
    <cellStyle name="_Euro_55 Market St TS - Dec 07_Notes to Account - 0408_4 Financial Report - Apr 09" xfId="341"/>
    <cellStyle name="_Euro_55 Market St TS - Dec 07_Notes to Account - 0408_5 Financial Report - May 09" xfId="342"/>
    <cellStyle name="_Euro_55 Market St TS - Dec 07_Notes to Account - 0408_55MKT -Financial Report - Sep 09(1)" xfId="343"/>
    <cellStyle name="_Euro_55 Market St TS - Dec 07_Notes to Account - 0408_6 Financial Report - Jun 09" xfId="344"/>
    <cellStyle name="_Euro_55 Market St TS - Dec 07_Notes to Account - 0408_7 Finance Reports - Jul 08 (Revised 2)" xfId="345"/>
    <cellStyle name="_Euro_55 Market St TS - Dec 07_Notes to Account - 0408_7 Finance Reports - Jul 08 Revised" xfId="346"/>
    <cellStyle name="_Euro_55 Market St TS - Dec 07_Notes to Account - 0408_8 -Finance Reports - Aug 08" xfId="347"/>
    <cellStyle name="_Euro_55 Market St TS - Dec 07_Notes to Account - 0408_9 Financial Report - Sep 08" xfId="348"/>
    <cellStyle name="_Euro_55 Market St TS - Dec 07_Notes to Account - 0408_Finance Reports - Jun 08" xfId="349"/>
    <cellStyle name="_Euro_55 Market St TS - Dec 07_Notes to Account - 0408_Finance Reports - Jun 08_1 Financial Report - Jan 09" xfId="350"/>
    <cellStyle name="_Euro_55 Market St TS - Dec 07_Notes to Account - 0408_Finance Reports - Jun 08_2 Financial Report - Feb 09" xfId="351"/>
    <cellStyle name="_Euro_55 Market St TS - Dec 07_Notes to Account - 0408_Finance Reports - Jun 08_3 Financial Report - Mar 09" xfId="352"/>
    <cellStyle name="_Euro_55 Market St TS - Dec 07_Notes to Account - 0408_Finance Reports - Jun 08_4 Financial Report - Apr 09" xfId="353"/>
    <cellStyle name="_Euro_55 Market St TS - Dec 07_Notes to Account - 0408_Finance Reports - Jun 08_5 Financial Report - May 09" xfId="354"/>
    <cellStyle name="_Euro_55 Market St TS - Dec 07_Notes to Account - 0408_Finance Reports - Jun 08_55MKT -Financial Report - Sep 09(1)" xfId="355"/>
    <cellStyle name="_Euro_55 Market St TS - Dec 07_Notes to Account - 0408_Finance Reports - Jun 08_6 Financial Report - Jun 09" xfId="356"/>
    <cellStyle name="_Euro_55 Market St TS - Dec 07_Notes to Account - 0508" xfId="357"/>
    <cellStyle name="_Euro_55 Market St TS - Dec 07_Notes to Account - 0508_1 Financial Report - Jan 09" xfId="358"/>
    <cellStyle name="_Euro_55 Market St TS - Dec 07_Notes to Account - 0508_10 -Financial Report - Oct 08" xfId="359"/>
    <cellStyle name="_Euro_55 Market St TS - Dec 07_Notes to Account - 0508_2 Financial Report - Feb 09" xfId="360"/>
    <cellStyle name="_Euro_55 Market St TS - Dec 07_Notes to Account - 0508_3 Financial Report - Mar 09" xfId="361"/>
    <cellStyle name="_Euro_55 Market St TS - Dec 07_Notes to Account - 0508_4 Financial Report - Apr 09" xfId="362"/>
    <cellStyle name="_Euro_55 Market St TS - Dec 07_Notes to Account - 0508_5 Financial Report - May 09" xfId="363"/>
    <cellStyle name="_Euro_55 Market St TS - Dec 07_Notes to Account - 0508_55MKT -Financial Report - Sep 09(1)" xfId="364"/>
    <cellStyle name="_Euro_55 Market St TS - Dec 07_Notes to Account - 0508_6 Financial Report - Jun 09" xfId="365"/>
    <cellStyle name="_Euro_55 Market St TS - Dec 07_Notes to Account - 0508_7 Finance Reports - Jul 08 (Revised 2)" xfId="366"/>
    <cellStyle name="_Euro_55 Market St TS - Dec 07_Notes to Account - 0508_7 Finance Reports - Jul 08 Revised" xfId="367"/>
    <cellStyle name="_Euro_55 Market St TS - Dec 07_Notes to Account - 0508_8 -Finance Reports - Aug 08" xfId="368"/>
    <cellStyle name="_Euro_55 Market St TS - Dec 07_Notes to Account - 0508_9 Financial Report - Sep 08" xfId="369"/>
    <cellStyle name="_Euro_55 Market St TS - Dec 07_Notes to Account - 0508_Finance Reports - Jun 08" xfId="370"/>
    <cellStyle name="_Euro_55 Market St TS - Dec 07_Notes to Account - 0508_Finance Reports - Jun 08_1 Financial Report - Jan 09" xfId="371"/>
    <cellStyle name="_Euro_55 Market St TS - Dec 07_Notes to Account - 0508_Finance Reports - Jun 08_2 Financial Report - Feb 09" xfId="372"/>
    <cellStyle name="_Euro_55 Market St TS - Dec 07_Notes to Account - 0508_Finance Reports - Jun 08_3 Financial Report - Mar 09" xfId="373"/>
    <cellStyle name="_Euro_55 Market St TS - Dec 07_Notes to Account - 0508_Finance Reports - Jun 08_4 Financial Report - Apr 09" xfId="374"/>
    <cellStyle name="_Euro_55 Market St TS - Dec 07_Notes to Account - 0508_Finance Reports - Jun 08_5 Financial Report - May 09" xfId="375"/>
    <cellStyle name="_Euro_55 Market St TS - Dec 07_Notes to Account - 0508_Finance Reports - Jun 08_55MKT -Financial Report - Sep 09(1)" xfId="376"/>
    <cellStyle name="_Euro_55 Market St TS - Dec 07_Notes to Account - 0508_Finance Reports - Jun 08_6 Financial Report - Jun 09" xfId="377"/>
    <cellStyle name="_Euro_55 Market St TS - Dec 07_Notes to Account - 0608" xfId="378"/>
    <cellStyle name="_Euro_55 Market St TS - Dec 07_Notes to Account - 0608 Pro-Forma" xfId="379"/>
    <cellStyle name="_Euro_55 Market St TS - Dec 07_Notes to Account - 0608 Pro-Forma_1 Financial Report - Jan 09" xfId="380"/>
    <cellStyle name="_Euro_55 Market St TS - Dec 07_Notes to Account - 0608 Pro-Forma_10 -Financial Report - Oct 08" xfId="381"/>
    <cellStyle name="_Euro_55 Market St TS - Dec 07_Notes to Account - 0608 Pro-Forma_2 Financial Report - Feb 09" xfId="382"/>
    <cellStyle name="_Euro_55 Market St TS - Dec 07_Notes to Account - 0608 Pro-Forma_3 Financial Report - Mar 09" xfId="383"/>
    <cellStyle name="_Euro_55 Market St TS - Dec 07_Notes to Account - 0608 Pro-Forma_4 Financial Report - Apr 09" xfId="384"/>
    <cellStyle name="_Euro_55 Market St TS - Dec 07_Notes to Account - 0608 Pro-Forma_5 Financial Report - May 09" xfId="385"/>
    <cellStyle name="_Euro_55 Market St TS - Dec 07_Notes to Account - 0608 Pro-Forma_55MKT -Financial Report - Sep 09(1)" xfId="386"/>
    <cellStyle name="_Euro_55 Market St TS - Dec 07_Notes to Account - 0608 Pro-Forma_6 Financial Report - Jun 09" xfId="387"/>
    <cellStyle name="_Euro_55 Market St TS - Dec 07_Notes to Account - 0608 Pro-Forma_7 Finance Reports - Jul 08 (Revised 2)" xfId="388"/>
    <cellStyle name="_Euro_55 Market St TS - Dec 07_Notes to Account - 0608 Pro-Forma_7 Finance Reports - Jul 08 Revised" xfId="389"/>
    <cellStyle name="_Euro_55 Market St TS - Dec 07_Notes to Account - 0608 Pro-Forma_8 -Finance Reports - Aug 08" xfId="390"/>
    <cellStyle name="_Euro_55 Market St TS - Dec 07_Notes to Account - 0608 Pro-Forma_9 Financial Report - Sep 08" xfId="391"/>
    <cellStyle name="_Euro_55 Market St TS - Dec 07_Notes to Account - 0608 Pro-Forma_Finance Reports - Jun 08" xfId="392"/>
    <cellStyle name="_Euro_55 Market St TS - Dec 07_Notes to Account - 0608 Pro-Forma_Finance Reports - Jun 08_1 Financial Report - Jan 09" xfId="393"/>
    <cellStyle name="_Euro_55 Market St TS - Dec 07_Notes to Account - 0608 Pro-Forma_Finance Reports - Jun 08_2 Financial Report - Feb 09" xfId="394"/>
    <cellStyle name="_Euro_55 Market St TS - Dec 07_Notes to Account - 0608 Pro-Forma_Finance Reports - Jun 08_3 Financial Report - Mar 09" xfId="395"/>
    <cellStyle name="_Euro_55 Market St TS - Dec 07_Notes to Account - 0608 Pro-Forma_Finance Reports - Jun 08_4 Financial Report - Apr 09" xfId="396"/>
    <cellStyle name="_Euro_55 Market St TS - Dec 07_Notes to Account - 0608 Pro-Forma_Finance Reports - Jun 08_5 Financial Report - May 09" xfId="397"/>
    <cellStyle name="_Euro_55 Market St TS - Dec 07_Notes to Account - 0608 Pro-Forma_Finance Reports - Jun 08_55MKT -Financial Report - Sep 09(1)" xfId="398"/>
    <cellStyle name="_Euro_55 Market St TS - Dec 07_Notes to Account - 0608 Pro-Forma_Finance Reports - Jun 08_6 Financial Report - Jun 09" xfId="399"/>
    <cellStyle name="_Euro_55 Market St TS - Dec 07_Notes to Account - 0608_1 Financial Report - Jan 09" xfId="400"/>
    <cellStyle name="_Euro_55 Market St TS - Dec 07_Notes to Account - 0608_10 -Financial Report - Oct 08" xfId="401"/>
    <cellStyle name="_Euro_55 Market St TS - Dec 07_Notes to Account - 0608_2 Financial Report - Feb 09" xfId="402"/>
    <cellStyle name="_Euro_55 Market St TS - Dec 07_Notes to Account - 0608_3 Financial Report - Mar 09" xfId="403"/>
    <cellStyle name="_Euro_55 Market St TS - Dec 07_Notes to Account - 0608_4 Financial Report - Apr 09" xfId="404"/>
    <cellStyle name="_Euro_55 Market St TS - Dec 07_Notes to Account - 0608_5 Financial Report - May 09" xfId="405"/>
    <cellStyle name="_Euro_55 Market St TS - Dec 07_Notes to Account - 0608_55MKT -Financial Report - Sep 09(1)" xfId="406"/>
    <cellStyle name="_Euro_55 Market St TS - Dec 07_Notes to Account - 0608_6 Financial Report - Jun 09" xfId="407"/>
    <cellStyle name="_Euro_55 Market St TS - Dec 07_Notes to Account - 0608_7 Finance Reports - Jul 08 (Revised 2)" xfId="408"/>
    <cellStyle name="_Euro_55 Market St TS - Dec 07_Notes to Account - 0608_7 Finance Reports - Jul 08 Revised" xfId="409"/>
    <cellStyle name="_Euro_55 Market St TS - Dec 07_Notes to Account - 0608_8 -Finance Reports - Aug 08" xfId="410"/>
    <cellStyle name="_Euro_55 Market St TS - Dec 07_Notes to Account - 0608_9 Financial Report - Sep 08" xfId="411"/>
    <cellStyle name="_Euro_55 Market St TS - Dec 07_Notes to Account - 0608_Finance Reports - Jun 08" xfId="412"/>
    <cellStyle name="_Euro_55 Market St TS - Dec 07_Notes to Account - 0608_Finance Reports - Jun 08_1 Financial Report - Jan 09" xfId="413"/>
    <cellStyle name="_Euro_55 Market St TS - Dec 07_Notes to Account - 0608_Finance Reports - Jun 08_2 Financial Report - Feb 09" xfId="414"/>
    <cellStyle name="_Euro_55 Market St TS - Dec 07_Notes to Account - 0608_Finance Reports - Jun 08_3 Financial Report - Mar 09" xfId="415"/>
    <cellStyle name="_Euro_55 Market St TS - Dec 07_Notes to Account - 0608_Finance Reports - Jun 08_4 Financial Report - Apr 09" xfId="416"/>
    <cellStyle name="_Euro_55 Market St TS - Dec 07_Notes to Account - 0608_Finance Reports - Jun 08_5 Financial Report - May 09" xfId="417"/>
    <cellStyle name="_Euro_55 Market St TS - Dec 07_Notes to Account - 0608_Finance Reports - Jun 08_55MKT -Financial Report - Sep 09(1)" xfId="418"/>
    <cellStyle name="_Euro_55 Market St TS - Dec 07_Notes to Account - 0608_Finance Reports - Jun 08_6 Financial Report - Jun 09" xfId="419"/>
    <cellStyle name="_Euro_55 Market St TS - Dec 07_Notes to Account - 0708" xfId="420"/>
    <cellStyle name="_Euro_55MKT - Billing Schedule 2008" xfId="421"/>
    <cellStyle name="_Euro_55MKT - Billing Schedule APR 08" xfId="422"/>
    <cellStyle name="_Euro_55MKT - Billing Schedule May 08" xfId="423"/>
    <cellStyle name="_Euro_55MKT -Financial Report - Sep 09(1)" xfId="424"/>
    <cellStyle name="_Euro_6 55MKT - Billing Schedule Jun 08" xfId="425"/>
    <cellStyle name="_Euro_6 Finance Reports - Jun 07 (Rev)" xfId="426"/>
    <cellStyle name="_Euro_6 Finance Reports - Jun 08" xfId="427"/>
    <cellStyle name="_Euro_6 Financial Report - Jun 09" xfId="428"/>
    <cellStyle name="_Euro_7 Finance Reports - Jul 08 (Revised 2)" xfId="429"/>
    <cellStyle name="_Euro_7 Finance Reports - Jul 08 Revised" xfId="430"/>
    <cellStyle name="_Euro_8 Finance Reports - Aug 07" xfId="431"/>
    <cellStyle name="_Euro_8 -Finance Reports - Aug 08" xfId="432"/>
    <cellStyle name="_Euro_9 Finance Reports - SEP 07" xfId="433"/>
    <cellStyle name="_Euro_9 Financial Report - Sep 08" xfId="434"/>
    <cellStyle name="_Euro_Ebara Forecast 2007 &amp; 2008 JP_final" xfId="435"/>
    <cellStyle name="_Euro_Finance Reports - Apr 07" xfId="436"/>
    <cellStyle name="_Euro_Finance Reports - Feb 08 REVISED" xfId="437"/>
    <cellStyle name="_Euro_Finance Reports - Jan 08" xfId="438"/>
    <cellStyle name="_Euro_Finance Reports - Jan 08 REVISED" xfId="439"/>
    <cellStyle name="_Euro_Finance Reports - Jul 07" xfId="440"/>
    <cellStyle name="_Euro_Finance Reports - Jun 07 (Rev) (2)" xfId="441"/>
    <cellStyle name="_Euro_FINANCIAL REPORT - MAY 07" xfId="442"/>
    <cellStyle name="_Euro_Keypoint TS - Dec 07" xfId="443"/>
    <cellStyle name="_Euro_Keypoint TS - Dec 07 2" xfId="444"/>
    <cellStyle name="_Euro_Keypoint TS - Dec 07_KP Rent Roll - Mar 08 (300308)" xfId="445"/>
    <cellStyle name="_Euro_Keypoint TS - Dec 07_KPT-Feb 08 Financial Report (revised)" xfId="446"/>
    <cellStyle name="_Euro_Keypoint TS - Dec 07_Rent Roll (KeyPoint Feb 08)" xfId="447"/>
    <cellStyle name="_Euro_KP Rent Roll - Mar 08 (300308)" xfId="448"/>
    <cellStyle name="_Euro_KPT-Dec07 Financial Report (Revised 2)" xfId="449"/>
    <cellStyle name="_Euro_KPT-Dec07 Financial Report (Revised) (3)" xfId="450"/>
    <cellStyle name="_Euro_KPT-Feb 08 Financial Report (revised)" xfId="451"/>
    <cellStyle name="_Euro_KPT-Nov07 Financial Report (Revised 2)" xfId="452"/>
    <cellStyle name="_Euro_Monthly Report JUNE  07" xfId="453"/>
    <cellStyle name="_Euro_Monthly Report JUNE  07 2" xfId="454"/>
    <cellStyle name="_Euro_Monthly Report JUNE  07_1 Financial Report - Jan 09" xfId="455"/>
    <cellStyle name="_Euro_Monthly Report JUNE  07_10 -Financial Report - Oct 08" xfId="456"/>
    <cellStyle name="_Euro_Monthly Report JUNE  07_2 Financial Report - Feb 09" xfId="457"/>
    <cellStyle name="_Euro_Monthly Report JUNE  07_3 Finance Reports - Mar 08" xfId="458"/>
    <cellStyle name="_Euro_Monthly Report JUNE  07_3 Financial Report - Mar 09" xfId="459"/>
    <cellStyle name="_Euro_Monthly Report JUNE  07_4 Finance Reports - APR 08" xfId="460"/>
    <cellStyle name="_Euro_Monthly Report JUNE  07_4 Financial Report - Apr 09" xfId="461"/>
    <cellStyle name="_Euro_Monthly Report JUNE  07_5 Finance Reports - May 08" xfId="462"/>
    <cellStyle name="_Euro_Monthly Report JUNE  07_5 Finance Reports - May 08 (Revised)" xfId="463"/>
    <cellStyle name="_Euro_Monthly Report JUNE  07_5 Financial Report - May 09" xfId="464"/>
    <cellStyle name="_Euro_Monthly Report JUNE  07_55MKT -Financial Report - Sep 09(1)" xfId="465"/>
    <cellStyle name="_Euro_Monthly Report JUNE  07_6 Finance Reports - Jun 08" xfId="466"/>
    <cellStyle name="_Euro_Monthly Report JUNE  07_6 Financial Report - Jun 09" xfId="467"/>
    <cellStyle name="_Euro_Monthly Report JUNE  07_7 Finance Reports - Jul 08 (Revised 2)" xfId="468"/>
    <cellStyle name="_Euro_Monthly Report JUNE  07_7 Finance Reports - Jul 08 Revised" xfId="469"/>
    <cellStyle name="_Euro_Monthly Report JUNE  07_8 -Finance Reports - Aug 08" xfId="470"/>
    <cellStyle name="_Euro_Monthly Report JUNE  07_9 Financial Report - Sep 08" xfId="471"/>
    <cellStyle name="_Euro_Monthly Report JUNE  07_Finance Reports - Jul 08" xfId="472"/>
    <cellStyle name="_Euro_Monthly Report JUNE  07_KP Rent Roll - Mar 08 (300308)" xfId="473"/>
    <cellStyle name="_Euro_Monthly Report JUNE  07_KPT-Feb 08 Financial Report (revised)" xfId="474"/>
    <cellStyle name="_Euro_Monthly Report JUNE  07_Notes to Account - 0308 Final Result" xfId="475"/>
    <cellStyle name="_Euro_Monthly Report JUNE  07_Notes to Account - 0308 Final Result_1 Financial Report - Jan 09" xfId="476"/>
    <cellStyle name="_Euro_Monthly Report JUNE  07_Notes to Account - 0308 Final Result_10 -Financial Report - Oct 08" xfId="477"/>
    <cellStyle name="_Euro_Monthly Report JUNE  07_Notes to Account - 0308 Final Result_2 Financial Report - Feb 09" xfId="478"/>
    <cellStyle name="_Euro_Monthly Report JUNE  07_Notes to Account - 0308 Final Result_3 Financial Report - Mar 09" xfId="479"/>
    <cellStyle name="_Euro_Monthly Report JUNE  07_Notes to Account - 0308 Final Result_4 Financial Report - Apr 09" xfId="480"/>
    <cellStyle name="_Euro_Monthly Report JUNE  07_Notes to Account - 0308 Final Result_5 Financial Report - May 09" xfId="481"/>
    <cellStyle name="_Euro_Monthly Report JUNE  07_Notes to Account - 0308 Final Result_55MKT -Financial Report - Sep 09(1)" xfId="482"/>
    <cellStyle name="_Euro_Monthly Report JUNE  07_Notes to Account - 0308 Final Result_6 Financial Report - Jun 09" xfId="483"/>
    <cellStyle name="_Euro_Monthly Report JUNE  07_Notes to Account - 0308 Final Result_7 Finance Reports - Jul 08 (Revised 2)" xfId="484"/>
    <cellStyle name="_Euro_Monthly Report JUNE  07_Notes to Account - 0308 Final Result_7 Finance Reports - Jul 08 Revised" xfId="485"/>
    <cellStyle name="_Euro_Monthly Report JUNE  07_Notes to Account - 0308 Final Result_8 -Finance Reports - Aug 08" xfId="486"/>
    <cellStyle name="_Euro_Monthly Report JUNE  07_Notes to Account - 0308 Final Result_9 Financial Report - Sep 08" xfId="487"/>
    <cellStyle name="_Euro_Monthly Report JUNE  07_Notes to Account - 0308 Final Result_Finance Reports - Jun 08" xfId="488"/>
    <cellStyle name="_Euro_Monthly Report JUNE  07_Notes to Account - 0308 Final Result_Finance Reports - Jun 08_1 Financial Report - Jan 09" xfId="489"/>
    <cellStyle name="_Euro_Monthly Report JUNE  07_Notes to Account - 0308 Final Result_Finance Reports - Jun 08_2 Financial Report - Feb 09" xfId="490"/>
    <cellStyle name="_Euro_Monthly Report JUNE  07_Notes to Account - 0308 Final Result_Finance Reports - Jun 08_3 Financial Report - Mar 09" xfId="491"/>
    <cellStyle name="_Euro_Monthly Report JUNE  07_Notes to Account - 0308 Final Result_Finance Reports - Jun 08_4 Financial Report - Apr 09" xfId="492"/>
    <cellStyle name="_Euro_Monthly Report JUNE  07_Notes to Account - 0308 Final Result_Finance Reports - Jun 08_5 Financial Report - May 09" xfId="493"/>
    <cellStyle name="_Euro_Monthly Report JUNE  07_Notes to Account - 0308 Final Result_Finance Reports - Jun 08_55MKT -Financial Report - Sep 09(1)" xfId="494"/>
    <cellStyle name="_Euro_Monthly Report JUNE  07_Notes to Account - 0308 Final Result_Finance Reports - Jun 08_6 Financial Report - Jun 09" xfId="495"/>
    <cellStyle name="_Euro_Monthly Report JUNE  07_Notes to Account - 0408" xfId="496"/>
    <cellStyle name="_Euro_Monthly Report JUNE  07_Notes to Account - 0408_1 Financial Report - Jan 09" xfId="497"/>
    <cellStyle name="_Euro_Monthly Report JUNE  07_Notes to Account - 0408_10 -Financial Report - Oct 08" xfId="498"/>
    <cellStyle name="_Euro_Monthly Report JUNE  07_Notes to Account - 0408_2 Financial Report - Feb 09" xfId="499"/>
    <cellStyle name="_Euro_Monthly Report JUNE  07_Notes to Account - 0408_3 Financial Report - Mar 09" xfId="500"/>
    <cellStyle name="_Euro_Monthly Report JUNE  07_Notes to Account - 0408_4 Financial Report - Apr 09" xfId="501"/>
    <cellStyle name="_Euro_Monthly Report JUNE  07_Notes to Account - 0408_5 Financial Report - May 09" xfId="502"/>
    <cellStyle name="_Euro_Monthly Report JUNE  07_Notes to Account - 0408_55MKT -Financial Report - Sep 09(1)" xfId="503"/>
    <cellStyle name="_Euro_Monthly Report JUNE  07_Notes to Account - 0408_6 Financial Report - Jun 09" xfId="504"/>
    <cellStyle name="_Euro_Monthly Report JUNE  07_Notes to Account - 0408_7 Finance Reports - Jul 08 (Revised 2)" xfId="505"/>
    <cellStyle name="_Euro_Monthly Report JUNE  07_Notes to Account - 0408_7 Finance Reports - Jul 08 Revised" xfId="506"/>
    <cellStyle name="_Euro_Monthly Report JUNE  07_Notes to Account - 0408_8 -Finance Reports - Aug 08" xfId="507"/>
    <cellStyle name="_Euro_Monthly Report JUNE  07_Notes to Account - 0408_9 Financial Report - Sep 08" xfId="508"/>
    <cellStyle name="_Euro_Monthly Report JUNE  07_Notes to Account - 0408_Finance Reports - Jun 08" xfId="509"/>
    <cellStyle name="_Euro_Monthly Report JUNE  07_Notes to Account - 0408_Finance Reports - Jun 08_1 Financial Report - Jan 09" xfId="510"/>
    <cellStyle name="_Euro_Monthly Report JUNE  07_Notes to Account - 0408_Finance Reports - Jun 08_2 Financial Report - Feb 09" xfId="511"/>
    <cellStyle name="_Euro_Monthly Report JUNE  07_Notes to Account - 0408_Finance Reports - Jun 08_3 Financial Report - Mar 09" xfId="512"/>
    <cellStyle name="_Euro_Monthly Report JUNE  07_Notes to Account - 0408_Finance Reports - Jun 08_4 Financial Report - Apr 09" xfId="513"/>
    <cellStyle name="_Euro_Monthly Report JUNE  07_Notes to Account - 0408_Finance Reports - Jun 08_5 Financial Report - May 09" xfId="514"/>
    <cellStyle name="_Euro_Monthly Report JUNE  07_Notes to Account - 0408_Finance Reports - Jun 08_55MKT -Financial Report - Sep 09(1)" xfId="515"/>
    <cellStyle name="_Euro_Monthly Report JUNE  07_Notes to Account - 0408_Finance Reports - Jun 08_6 Financial Report - Jun 09" xfId="516"/>
    <cellStyle name="_Euro_Monthly Report JUNE  07_Notes to Account - 0508" xfId="517"/>
    <cellStyle name="_Euro_Monthly Report JUNE  07_Notes to Account - 0508_1 Financial Report - Jan 09" xfId="518"/>
    <cellStyle name="_Euro_Monthly Report JUNE  07_Notes to Account - 0508_10 -Financial Report - Oct 08" xfId="519"/>
    <cellStyle name="_Euro_Monthly Report JUNE  07_Notes to Account - 0508_2 Financial Report - Feb 09" xfId="520"/>
    <cellStyle name="_Euro_Monthly Report JUNE  07_Notes to Account - 0508_3 Financial Report - Mar 09" xfId="521"/>
    <cellStyle name="_Euro_Monthly Report JUNE  07_Notes to Account - 0508_4 Financial Report - Apr 09" xfId="522"/>
    <cellStyle name="_Euro_Monthly Report JUNE  07_Notes to Account - 0508_5 Financial Report - May 09" xfId="523"/>
    <cellStyle name="_Euro_Monthly Report JUNE  07_Notes to Account - 0508_55MKT -Financial Report - Sep 09(1)" xfId="524"/>
    <cellStyle name="_Euro_Monthly Report JUNE  07_Notes to Account - 0508_6 Financial Report - Jun 09" xfId="525"/>
    <cellStyle name="_Euro_Monthly Report JUNE  07_Notes to Account - 0508_7 Finance Reports - Jul 08 (Revised 2)" xfId="526"/>
    <cellStyle name="_Euro_Monthly Report JUNE  07_Notes to Account - 0508_7 Finance Reports - Jul 08 Revised" xfId="527"/>
    <cellStyle name="_Euro_Monthly Report JUNE  07_Notes to Account - 0508_8 -Finance Reports - Aug 08" xfId="528"/>
    <cellStyle name="_Euro_Monthly Report JUNE  07_Notes to Account - 0508_9 Financial Report - Sep 08" xfId="529"/>
    <cellStyle name="_Euro_Monthly Report JUNE  07_Notes to Account - 0508_Finance Reports - Jun 08" xfId="530"/>
    <cellStyle name="_Euro_Monthly Report JUNE  07_Notes to Account - 0508_Finance Reports - Jun 08_1 Financial Report - Jan 09" xfId="531"/>
    <cellStyle name="_Euro_Monthly Report JUNE  07_Notes to Account - 0508_Finance Reports - Jun 08_2 Financial Report - Feb 09" xfId="532"/>
    <cellStyle name="_Euro_Monthly Report JUNE  07_Notes to Account - 0508_Finance Reports - Jun 08_3 Financial Report - Mar 09" xfId="533"/>
    <cellStyle name="_Euro_Monthly Report JUNE  07_Notes to Account - 0508_Finance Reports - Jun 08_4 Financial Report - Apr 09" xfId="534"/>
    <cellStyle name="_Euro_Monthly Report JUNE  07_Notes to Account - 0508_Finance Reports - Jun 08_5 Financial Report - May 09" xfId="535"/>
    <cellStyle name="_Euro_Monthly Report JUNE  07_Notes to Account - 0508_Finance Reports - Jun 08_55MKT -Financial Report - Sep 09(1)" xfId="536"/>
    <cellStyle name="_Euro_Monthly Report JUNE  07_Notes to Account - 0508_Finance Reports - Jun 08_6 Financial Report - Jun 09" xfId="537"/>
    <cellStyle name="_Euro_Monthly Report JUNE  07_Notes to Account - 0608" xfId="538"/>
    <cellStyle name="_Euro_Monthly Report JUNE  07_Notes to Account - 0608 Pro-Forma" xfId="539"/>
    <cellStyle name="_Euro_Monthly Report JUNE  07_Notes to Account - 0608 Pro-Forma_1 Financial Report - Jan 09" xfId="540"/>
    <cellStyle name="_Euro_Monthly Report JUNE  07_Notes to Account - 0608 Pro-Forma_10 -Financial Report - Oct 08" xfId="541"/>
    <cellStyle name="_Euro_Monthly Report JUNE  07_Notes to Account - 0608 Pro-Forma_2 Financial Report - Feb 09" xfId="542"/>
    <cellStyle name="_Euro_Monthly Report JUNE  07_Notes to Account - 0608 Pro-Forma_3 Financial Report - Mar 09" xfId="543"/>
    <cellStyle name="_Euro_Monthly Report JUNE  07_Notes to Account - 0608 Pro-Forma_4 Financial Report - Apr 09" xfId="544"/>
    <cellStyle name="_Euro_Monthly Report JUNE  07_Notes to Account - 0608 Pro-Forma_5 Financial Report - May 09" xfId="545"/>
    <cellStyle name="_Euro_Monthly Report JUNE  07_Notes to Account - 0608 Pro-Forma_55MKT -Financial Report - Sep 09(1)" xfId="546"/>
    <cellStyle name="_Euro_Monthly Report JUNE  07_Notes to Account - 0608 Pro-Forma_6 Financial Report - Jun 09" xfId="547"/>
    <cellStyle name="_Euro_Monthly Report JUNE  07_Notes to Account - 0608 Pro-Forma_7 Finance Reports - Jul 08 (Revised 2)" xfId="548"/>
    <cellStyle name="_Euro_Monthly Report JUNE  07_Notes to Account - 0608 Pro-Forma_7 Finance Reports - Jul 08 Revised" xfId="549"/>
    <cellStyle name="_Euro_Monthly Report JUNE  07_Notes to Account - 0608 Pro-Forma_8 -Finance Reports - Aug 08" xfId="550"/>
    <cellStyle name="_Euro_Monthly Report JUNE  07_Notes to Account - 0608 Pro-Forma_9 Financial Report - Sep 08" xfId="551"/>
    <cellStyle name="_Euro_Monthly Report JUNE  07_Notes to Account - 0608 Pro-Forma_Finance Reports - Jun 08" xfId="552"/>
    <cellStyle name="_Euro_Monthly Report JUNE  07_Notes to Account - 0608 Pro-Forma_Finance Reports - Jun 08_1 Financial Report - Jan 09" xfId="553"/>
    <cellStyle name="_Euro_Monthly Report JUNE  07_Notes to Account - 0608 Pro-Forma_Finance Reports - Jun 08_2 Financial Report - Feb 09" xfId="554"/>
    <cellStyle name="_Euro_Monthly Report JUNE  07_Notes to Account - 0608 Pro-Forma_Finance Reports - Jun 08_3 Financial Report - Mar 09" xfId="555"/>
    <cellStyle name="_Euro_Monthly Report JUNE  07_Notes to Account - 0608 Pro-Forma_Finance Reports - Jun 08_4 Financial Report - Apr 09" xfId="556"/>
    <cellStyle name="_Euro_Monthly Report JUNE  07_Notes to Account - 0608 Pro-Forma_Finance Reports - Jun 08_5 Financial Report - May 09" xfId="557"/>
    <cellStyle name="_Euro_Monthly Report JUNE  07_Notes to Account - 0608 Pro-Forma_Finance Reports - Jun 08_55MKT -Financial Report - Sep 09(1)" xfId="558"/>
    <cellStyle name="_Euro_Monthly Report JUNE  07_Notes to Account - 0608 Pro-Forma_Finance Reports - Jun 08_6 Financial Report - Jun 09" xfId="559"/>
    <cellStyle name="_Euro_Monthly Report JUNE  07_Notes to Account - 0608_1 Financial Report - Jan 09" xfId="560"/>
    <cellStyle name="_Euro_Monthly Report JUNE  07_Notes to Account - 0608_10 -Financial Report - Oct 08" xfId="561"/>
    <cellStyle name="_Euro_Monthly Report JUNE  07_Notes to Account - 0608_2 Financial Report - Feb 09" xfId="562"/>
    <cellStyle name="_Euro_Monthly Report JUNE  07_Notes to Account - 0608_3 Financial Report - Mar 09" xfId="563"/>
    <cellStyle name="_Euro_Monthly Report JUNE  07_Notes to Account - 0608_4 Financial Report - Apr 09" xfId="564"/>
    <cellStyle name="_Euro_Monthly Report JUNE  07_Notes to Account - 0608_5 Financial Report - May 09" xfId="565"/>
    <cellStyle name="_Euro_Monthly Report JUNE  07_Notes to Account - 0608_55MKT -Financial Report - Sep 09(1)" xfId="566"/>
    <cellStyle name="_Euro_Monthly Report JUNE  07_Notes to Account - 0608_6 Financial Report - Jun 09" xfId="567"/>
    <cellStyle name="_Euro_Monthly Report JUNE  07_Notes to Account - 0608_7 Finance Reports - Jul 08 (Revised 2)" xfId="568"/>
    <cellStyle name="_Euro_Monthly Report JUNE  07_Notes to Account - 0608_7 Finance Reports - Jul 08 Revised" xfId="569"/>
    <cellStyle name="_Euro_Monthly Report JUNE  07_Notes to Account - 0608_8 -Finance Reports - Aug 08" xfId="570"/>
    <cellStyle name="_Euro_Monthly Report JUNE  07_Notes to Account - 0608_9 Financial Report - Sep 08" xfId="571"/>
    <cellStyle name="_Euro_Monthly Report JUNE  07_Notes to Account - 0608_Finance Reports - Jun 08" xfId="572"/>
    <cellStyle name="_Euro_Monthly Report JUNE  07_Notes to Account - 0608_Finance Reports - Jun 08_1 Financial Report - Jan 09" xfId="573"/>
    <cellStyle name="_Euro_Monthly Report JUNE  07_Notes to Account - 0608_Finance Reports - Jun 08_2 Financial Report - Feb 09" xfId="574"/>
    <cellStyle name="_Euro_Monthly Report JUNE  07_Notes to Account - 0608_Finance Reports - Jun 08_3 Financial Report - Mar 09" xfId="575"/>
    <cellStyle name="_Euro_Monthly Report JUNE  07_Notes to Account - 0608_Finance Reports - Jun 08_4 Financial Report - Apr 09" xfId="576"/>
    <cellStyle name="_Euro_Monthly Report JUNE  07_Notes to Account - 0608_Finance Reports - Jun 08_5 Financial Report - May 09" xfId="577"/>
    <cellStyle name="_Euro_Monthly Report JUNE  07_Notes to Account - 0608_Finance Reports - Jun 08_55MKT -Financial Report - Sep 09(1)" xfId="578"/>
    <cellStyle name="_Euro_Monthly Report JUNE  07_Notes to Account - 0608_Finance Reports - Jun 08_6 Financial Report - Jun 09" xfId="579"/>
    <cellStyle name="_Euro_Monthly Report JUNE  07_Notes to Account - 0708" xfId="580"/>
    <cellStyle name="_Euro_Monthly Report JUNE  07_Rent Roll (KeyPoint Feb 08)" xfId="581"/>
    <cellStyle name="_Euro_Monthly Report MAR 07 (55 Market Street)" xfId="582"/>
    <cellStyle name="_Euro_Monthly Report MARCH 2008 (55 Market Street) Revised" xfId="583"/>
    <cellStyle name="_Euro_Notes to Account - 0707" xfId="584"/>
    <cellStyle name="_Euro_PC BCDR 03-0307r1" xfId="585"/>
    <cellStyle name="_Euro_P-Tax" xfId="586"/>
    <cellStyle name="_Euro_P-Tax 2" xfId="587"/>
    <cellStyle name="_Euro_P-Tax_090710【Ｇａｒｅｌｉａ】PMReport_6月分final" xfId="588"/>
    <cellStyle name="_Euro_Rent Roll (KeyPoint Feb 08)" xfId="589"/>
    <cellStyle name="_Euro_Residential Bulk Strat_08.16.2005" xfId="590"/>
    <cellStyle name="_Heading" xfId="591"/>
    <cellStyle name="_Highlight" xfId="592"/>
    <cellStyle name="_kanri" xfId="593"/>
    <cellStyle name="_kanri_1" xfId="594"/>
    <cellStyle name="_kanri_2" xfId="595"/>
    <cellStyle name="_kanri_3" xfId="596"/>
    <cellStyle name="_Multiple" xfId="597"/>
    <cellStyle name="_Multiple 2" xfId="598"/>
    <cellStyle name="_Multiple_061026　物件リスト" xfId="599"/>
    <cellStyle name="_Multiple_061115　物件鑑定等（NSC送付）" xfId="600"/>
    <cellStyle name="_Multiple_07_Sumi Trust Prorationのみ（１０月３０日）肥後橋修正後最終版" xfId="601"/>
    <cellStyle name="_Multiple_070805 Cosmo Plaza 5 Year CF" xfId="602"/>
    <cellStyle name="_Multiple_3_CF_Hiroshima_Sanei_2" xfId="603"/>
    <cellStyle name="_Multiple_30パレス経堂（テンプレート：9.18）" xfId="604"/>
    <cellStyle name="_Multiple_30パレス経堂（テンプレート：9.18）_PC BCDR 03-0307r1" xfId="605"/>
    <cellStyle name="_Multiple_30パレス経堂（テンプレート：9.18）_P-Tax" xfId="606"/>
    <cellStyle name="_Multiple_5 9 DSCR" xfId="607"/>
    <cellStyle name="_Multiple_6 9 DSCR" xfId="608"/>
    <cellStyle name="_Multiple_6_cf_Tsukushino 1" xfId="609"/>
    <cellStyle name="_Multiple_Bulk Sale AIG (03.27.02)" xfId="610"/>
    <cellStyle name="_Multiple_Chiyoda Rollup (7.31.01)" xfId="611"/>
    <cellStyle name="_Multiple_Cypress Budget and All in Cost" xfId="612"/>
    <cellStyle name="_Multiple_Data Sheet" xfId="613"/>
    <cellStyle name="_Multiple_Gotanda" xfId="614"/>
    <cellStyle name="_Multiple_Hotel Baden Roppongi UW Final" xfId="615"/>
    <cellStyle name="_Multiple_Ishin Narita 2nd" xfId="616"/>
    <cellStyle name="_Multiple_Kyoto Royal Hotel Final" xfId="617"/>
    <cellStyle name="_Multiple_MDL (Delaware) LLC" xfId="618"/>
    <cellStyle name="_Multiple_MDL (Delaware) LLC_Chiyoda Rollup (7.31.01)" xfId="619"/>
    <cellStyle name="_Multiple_MDL (Delaware) LLC_Sumi Life (08.19.01)" xfId="620"/>
    <cellStyle name="_Multiple_Project Voda_Appraised Value" xfId="621"/>
    <cellStyle name="_Multiple_Promote Model (10.14.02) - in the works_V2 (sent to Gibson 10.21.02)" xfId="622"/>
    <cellStyle name="_Multiple_P-Tax" xfId="623"/>
    <cellStyle name="_Multiple_Residential Bulk Strat_08.16.2005" xfId="624"/>
    <cellStyle name="_Multiple_revised loan allocation 5 01" xfId="625"/>
    <cellStyle name="_Multiple_Sensitivity" xfId="626"/>
    <cellStyle name="_Multiple_Shinbashi Atagoyama Tokyu Inn Uw" xfId="627"/>
    <cellStyle name="_Multiple_Sumi Life (08.19.01)" xfId="628"/>
    <cellStyle name="_Multiple_TH-0001_Asaka" xfId="629"/>
    <cellStyle name="_Multiple_TH-0007_Iriya" xfId="630"/>
    <cellStyle name="_Multiple_TH-0017_Oizumi" xfId="631"/>
    <cellStyle name="_Multiple_TH-0035_Kita Kogane" xfId="632"/>
    <cellStyle name="_Multiple_TH-0049_Komagome" xfId="633"/>
    <cellStyle name="_Multiple_TH-0053_Sagami Otuka" xfId="634"/>
    <cellStyle name="_Multiple_TH-0069_Tsudanuma" xfId="635"/>
    <cellStyle name="_Multiple_TH-0071_Tsurukawa" xfId="636"/>
    <cellStyle name="_Multiple_TH-0075_NishiHachioji" xfId="637"/>
    <cellStyle name="_Multiple_TH-0077_Nishifunabashi" xfId="638"/>
    <cellStyle name="_Multiple_TH-0096_Mitsukyo" xfId="639"/>
    <cellStyle name="_Multiple_Tokyu2002_portfolio_2" xfId="640"/>
    <cellStyle name="_Multiple_UW" xfId="641"/>
    <cellStyle name="_Multiple_ﾄｰﾒﾝ富山（試算)" xfId="642"/>
    <cellStyle name="_Multiple_三軒茶屋(試算)" xfId="643"/>
    <cellStyle name="_Multiple_査定書ホリイビル(修正版）" xfId="644"/>
    <cellStyle name="_Multiple_要町（試算)" xfId="645"/>
    <cellStyle name="_MultipleSpace" xfId="646"/>
    <cellStyle name="_MultipleSpace 2" xfId="647"/>
    <cellStyle name="_MultipleSpace_061026　物件リスト" xfId="648"/>
    <cellStyle name="_MultipleSpace_061115　物件鑑定等（NSC送付）" xfId="649"/>
    <cellStyle name="_MultipleSpace_07_Sumi Trust Prorationのみ（１０月３０日）肥後橋修正後最終版" xfId="650"/>
    <cellStyle name="_MultipleSpace_070805 Cosmo Plaza 5 Year CF" xfId="651"/>
    <cellStyle name="_MultipleSpace_3_CF_Hiroshima_Sanei_2" xfId="652"/>
    <cellStyle name="_MultipleSpace_30パレス経堂（テンプレート：9.18）" xfId="653"/>
    <cellStyle name="_MultipleSpace_30パレス経堂（テンプレート：9.18）_PC BCDR 03-0307r1" xfId="654"/>
    <cellStyle name="_MultipleSpace_30パレス経堂（テンプレート：9.18）_P-Tax" xfId="655"/>
    <cellStyle name="_MultipleSpace_5 9 DSCR" xfId="656"/>
    <cellStyle name="_MultipleSpace_6 9 DSCR" xfId="657"/>
    <cellStyle name="_MultipleSpace_6_cf_Tsukushino 1" xfId="658"/>
    <cellStyle name="_MultipleSpace_Bulk Sale AIG (03.27.02)" xfId="659"/>
    <cellStyle name="_MultipleSpace_Chiyoda Rollup (7.31.01)" xfId="660"/>
    <cellStyle name="_MultipleSpace_Cypress Budget and All in Cost" xfId="661"/>
    <cellStyle name="_MultipleSpace_Data Sheet" xfId="662"/>
    <cellStyle name="_MultipleSpace_Gotanda" xfId="663"/>
    <cellStyle name="_MultipleSpace_Hotel Baden Roppongi UW Final" xfId="664"/>
    <cellStyle name="_MultipleSpace_Ishin Narita 2nd" xfId="665"/>
    <cellStyle name="_MultipleSpace_Kyoto Royal Hotel Final" xfId="666"/>
    <cellStyle name="_MultipleSpace_MDL (Delaware) LLC" xfId="667"/>
    <cellStyle name="_MultipleSpace_MDL (Delaware) LLC_Chiyoda Rollup (7.31.01)" xfId="668"/>
    <cellStyle name="_MultipleSpace_MDL (Delaware) LLC_Sumi Life (08.19.01)" xfId="669"/>
    <cellStyle name="_MultipleSpace_Project Voda_Appraised Value" xfId="670"/>
    <cellStyle name="_MultipleSpace_Promote Model (10.14.02) - in the works_V2 (sent to Gibson 10.21.02)" xfId="671"/>
    <cellStyle name="_MultipleSpace_P-Tax" xfId="672"/>
    <cellStyle name="_MultipleSpace_Residential Bulk Strat_08.16.2005" xfId="673"/>
    <cellStyle name="_MultipleSpace_revised loan allocation 5 01" xfId="674"/>
    <cellStyle name="_MultipleSpace_Sensitivity" xfId="675"/>
    <cellStyle name="_MultipleSpace_Shinbashi Atagoyama Tokyu Inn Uw" xfId="676"/>
    <cellStyle name="_MultipleSpace_Sumi Life (08.19.01)" xfId="677"/>
    <cellStyle name="_MultipleSpace_TH-0001_Asaka" xfId="678"/>
    <cellStyle name="_MultipleSpace_TH-0007_Iriya" xfId="679"/>
    <cellStyle name="_MultipleSpace_TH-0017_Oizumi" xfId="680"/>
    <cellStyle name="_MultipleSpace_TH-0035_Kita Kogane" xfId="681"/>
    <cellStyle name="_MultipleSpace_TH-0049_Komagome" xfId="682"/>
    <cellStyle name="_MultipleSpace_TH-0053_Sagami Otuka" xfId="683"/>
    <cellStyle name="_MultipleSpace_TH-0069_Tsudanuma" xfId="684"/>
    <cellStyle name="_MultipleSpace_TH-0071_Tsurukawa" xfId="685"/>
    <cellStyle name="_MultipleSpace_TH-0075_NishiHachioji" xfId="686"/>
    <cellStyle name="_MultipleSpace_TH-0077_Nishifunabashi" xfId="687"/>
    <cellStyle name="_MultipleSpace_TH-0096_Mitsukyo" xfId="688"/>
    <cellStyle name="_MultipleSpace_Tokyu2002_portfolio_2" xfId="689"/>
    <cellStyle name="_MultipleSpace_UW" xfId="690"/>
    <cellStyle name="_MultipleSpace_ﾄｰﾒﾝ富山（試算)" xfId="691"/>
    <cellStyle name="_MultipleSpace_三軒茶屋(試算)" xfId="692"/>
    <cellStyle name="_MultipleSpace_査定書ホリイビル(修正版）" xfId="693"/>
    <cellStyle name="_MultipleSpace_要町（試算)" xfId="694"/>
    <cellStyle name="_Percent" xfId="695"/>
    <cellStyle name="_Percent_07_Sumi Trust Prorationのみ（１０月３０日）肥後橋修正後最終版" xfId="696"/>
    <cellStyle name="_Percent_5 9 DSCR" xfId="697"/>
    <cellStyle name="_Percent_6 9 DSCR" xfId="698"/>
    <cellStyle name="_Percent_Bulk Sale AIG (03.27.02)" xfId="699"/>
    <cellStyle name="_Percent_Chiyoda Rollup (7.31.01)" xfId="700"/>
    <cellStyle name="_Percent_MDL (Delaware) LLC" xfId="701"/>
    <cellStyle name="_Percent_MDL (Delaware) LLC_Chiyoda Rollup (7.31.01)" xfId="702"/>
    <cellStyle name="_Percent_MDL (Delaware) LLC_Sumi Life (08.19.01)" xfId="703"/>
    <cellStyle name="_Percent_Project Voda_Appraised Value" xfId="704"/>
    <cellStyle name="_Percent_Promote Model (10.14.02) - in the works_V2 (sent to Gibson 10.21.02)" xfId="705"/>
    <cellStyle name="_Percent_P-Tax" xfId="706"/>
    <cellStyle name="_Percent_revised loan allocation 5 01" xfId="707"/>
    <cellStyle name="_Percent_Sumi Life (08.19.01)" xfId="708"/>
    <cellStyle name="_Percent_UW" xfId="709"/>
    <cellStyle name="_PercentSpace" xfId="710"/>
    <cellStyle name="_PercentSpace_07_Sumi Trust Prorationのみ（１０月３０日）肥後橋修正後最終版" xfId="711"/>
    <cellStyle name="_PercentSpace_5 9 DSCR" xfId="712"/>
    <cellStyle name="_PercentSpace_6 9 DSCR" xfId="713"/>
    <cellStyle name="_PercentSpace_Bulk Sale AIG (03.27.02)" xfId="714"/>
    <cellStyle name="_PercentSpace_Chiyoda Rollup (7.31.01)" xfId="715"/>
    <cellStyle name="_PercentSpace_MDL (Delaware) LLC" xfId="716"/>
    <cellStyle name="_PercentSpace_MDL (Delaware) LLC_Chiyoda Rollup (7.31.01)" xfId="717"/>
    <cellStyle name="_PercentSpace_MDL (Delaware) LLC_Sumi Life (08.19.01)" xfId="718"/>
    <cellStyle name="_PercentSpace_PC BCDR 03-0307r1" xfId="719"/>
    <cellStyle name="_PercentSpace_Project Voda_Appraised Value" xfId="720"/>
    <cellStyle name="_PercentSpace_Promote Model (10.14.02) - in the works_V2 (sent to Gibson 10.21.02)" xfId="721"/>
    <cellStyle name="_PercentSpace_P-Tax" xfId="722"/>
    <cellStyle name="_PercentSpace_revised loan allocation 5 01" xfId="723"/>
    <cellStyle name="_PercentSpace_Sumi Life (08.19.01)" xfId="724"/>
    <cellStyle name="_PercentSpace_UW" xfId="725"/>
    <cellStyle name="_SubHeading" xfId="726"/>
    <cellStyle name="_Table" xfId="727"/>
    <cellStyle name="_Table_Customer Request Form Dec 07" xfId="728"/>
    <cellStyle name="_Table_Customer Request Form Dec 07_Monthly Report (KeyPoint Dec 07)" xfId="729"/>
    <cellStyle name="_Table_Customer Request Form Dec 07_Monthly Report (KeyPoint Dec 07)_KeyPoint (March)" xfId="730"/>
    <cellStyle name="_Table_Customer Request Form Dec 07_Monthly Report (KeyPoint Dec 07)_Lease Tracking 55" xfId="731"/>
    <cellStyle name="_Table_Ebara Forecast 2007 &amp; 2008 JP_final" xfId="732"/>
    <cellStyle name="_Table_KEYPOINT - Collection Account for Nov07" xfId="733"/>
    <cellStyle name="_Table_KEYPOINT - Collection Account for Nov07_Keypoint - Disbursement Account_08.01.23" xfId="734"/>
    <cellStyle name="_Table_KEYPOINT - Collection Account for Nov07_Monthly Report (KeyPoint Dec 07)" xfId="735"/>
    <cellStyle name="_Table_KEYPOINT - Collection Account for Nov07_Monthly Report (KeyPoint Dec 07)_KeyPoint (March)" xfId="736"/>
    <cellStyle name="_Table_KEYPOINT - Collection Account for Nov07_Monthly Report (KeyPoint Dec 07)_Lease Tracking 55" xfId="737"/>
    <cellStyle name="_TableHead" xfId="738"/>
    <cellStyle name="_TableHead_Customer Request Form Dec 07" xfId="739"/>
    <cellStyle name="_TableHead_Customer Request Form Dec 07_Monthly Report (KeyPoint Dec 07)" xfId="740"/>
    <cellStyle name="_TableHead_Customer Request Form Dec 07_Monthly Report (KeyPoint Dec 07)_KeyPoint (March)" xfId="741"/>
    <cellStyle name="_TableHead_Customer Request Form Dec 07_Monthly Report (KeyPoint Dec 07)_Lease Tracking 55" xfId="742"/>
    <cellStyle name="_TableHead_Ebara Forecast 2007 &amp; 2008 JP_final" xfId="743"/>
    <cellStyle name="_TableHead_KEYPOINT - Collection Account for Nov07" xfId="744"/>
    <cellStyle name="_TableHead_KEYPOINT - Collection Account for Nov07_Keypoint - Disbursement Account_08.01.23" xfId="745"/>
    <cellStyle name="_TableHead_KEYPOINT - Collection Account for Nov07_Monthly Report (KeyPoint Dec 07)" xfId="746"/>
    <cellStyle name="_TableHead_KEYPOINT - Collection Account for Nov07_Monthly Report (KeyPoint Dec 07)_KeyPoint (March)" xfId="747"/>
    <cellStyle name="_TableHead_KEYPOINT - Collection Account for Nov07_Monthly Report (KeyPoint Dec 07)_Lease Tracking 55" xfId="748"/>
    <cellStyle name="_TableRowHead" xfId="749"/>
    <cellStyle name="_TableSuperHead" xfId="750"/>
    <cellStyle name="_リニューアル工事.xls グラフ 175" xfId="751"/>
    <cellStyle name="_リニューアル工事.xls グラフ 175_1" xfId="752"/>
    <cellStyle name="_リニューアル工事.xls グラフ 175_2" xfId="753"/>
    <cellStyle name="_リニューアル工事.xls グラフ 175_3" xfId="754"/>
    <cellStyle name="_リニューアル工事.xls グラフ 176" xfId="755"/>
    <cellStyle name="_リニューアル工事.xls グラフ 176_1" xfId="756"/>
    <cellStyle name="_リニューアル工事.xls グラフ 176_2" xfId="757"/>
    <cellStyle name="_リニューアル工事.xls グラフ 176_3" xfId="758"/>
    <cellStyle name="_リニューアル工事.xls グラフ 3" xfId="759"/>
    <cellStyle name="_リニューアル工事.xls グラフ 3_1" xfId="760"/>
    <cellStyle name="_リニューアル工事.xls グラフ 3_2" xfId="761"/>
    <cellStyle name="_リニューアル工事.xls グラフ 3_3" xfId="762"/>
    <cellStyle name="_リニューアル工事.xls グラフ 4" xfId="763"/>
    <cellStyle name="_リニューアル工事.xls グラフ 4_1" xfId="764"/>
    <cellStyle name="_リニューアル工事.xls グラフ 4_2" xfId="765"/>
    <cellStyle name="_リニューアル工事.xls グラフ 4_3" xfId="766"/>
    <cellStyle name="_室町ＮＳビル総合管理提案２" xfId="767"/>
    <cellStyle name="_室町ＮＳビル総合管理提案２.xls グラフ 3" xfId="768"/>
    <cellStyle name="_室町ＮＳビル総合管理提案２.xls グラフ 3_1" xfId="769"/>
    <cellStyle name="_室町ＮＳビル総合管理提案２.xls グラフ 3_2" xfId="770"/>
    <cellStyle name="_室町ＮＳビル総合管理提案２.xls グラフ 3_3" xfId="771"/>
    <cellStyle name="_室町ＮＳビル総合管理提案２.xls グラフ 4" xfId="772"/>
    <cellStyle name="_室町ＮＳビル総合管理提案２.xls グラフ 4_1" xfId="773"/>
    <cellStyle name="_室町ＮＳビル総合管理提案２.xls グラフ 4_2" xfId="774"/>
    <cellStyle name="_室町ＮＳビル総合管理提案２.xls グラフ 4_3" xfId="775"/>
    <cellStyle name="_室町ＮＳビル総合管理提案２.xls グラフ 8" xfId="776"/>
    <cellStyle name="_室町ＮＳビル総合管理提案２.xls グラフ 8_1" xfId="777"/>
    <cellStyle name="_室町ＮＳビル総合管理提案２.xls グラフ 8_2" xfId="778"/>
    <cellStyle name="_室町ＮＳビル総合管理提案２.xls グラフ 8_3" xfId="779"/>
    <cellStyle name="_室町ＮＳビル総合管理提案２_1" xfId="780"/>
    <cellStyle name="_室町ＮＳビル総合管理提案２_2" xfId="781"/>
    <cellStyle name="_室町ＮＳビル総合管理提案２_3" xfId="782"/>
    <cellStyle name="_提案書2-2" xfId="783"/>
    <cellStyle name="_提案書2-2_1" xfId="784"/>
    <cellStyle name="_提案書2-2_2" xfId="785"/>
    <cellStyle name="_提案書2-2_3" xfId="786"/>
    <cellStyle name="_管理提案（本   文）" xfId="787"/>
    <cellStyle name="_管理提案（本   文）_1" xfId="788"/>
    <cellStyle name="_管理提案（本   文）_2" xfId="789"/>
    <cellStyle name="_管理提案（本   文）_3" xfId="790"/>
    <cellStyle name="_管理提案（本   文）－２" xfId="791"/>
    <cellStyle name="_管理提案（本   文）－２_1" xfId="792"/>
    <cellStyle name="_管理提案（本   文）－２_2" xfId="793"/>
    <cellStyle name="_管理提案（本   文）－２_3" xfId="794"/>
    <cellStyle name="_管理提案（目　次）２" xfId="795"/>
    <cellStyle name="_管理提案（目　次）２_1" xfId="796"/>
    <cellStyle name="_管理提案（目　次）２_2" xfId="797"/>
    <cellStyle name="_管理提案（目　次）２_3" xfId="798"/>
    <cellStyle name="_管理提案書A3.xls グラフ 4" xfId="799"/>
    <cellStyle name="_管理提案書A3.xls グラフ 4_1" xfId="800"/>
    <cellStyle name="_管理提案書A3.xls グラフ 4_2" xfId="801"/>
    <cellStyle name="_管理提案書A3.xls グラフ 4_3" xfId="802"/>
    <cellStyle name="_管理提案書A3.xls グラフ 5" xfId="803"/>
    <cellStyle name="_管理提案書A3.xls グラフ 5_1" xfId="804"/>
    <cellStyle name="_管理提案書A3.xls グラフ 5_2" xfId="805"/>
    <cellStyle name="_管理提案書A3.xls グラフ 5_3" xfId="806"/>
    <cellStyle name="_管理提案書A3.xls グラフ 9" xfId="807"/>
    <cellStyle name="_管理提案書A3.xls グラフ 9_1" xfId="808"/>
    <cellStyle name="_管理提案書A3.xls グラフ 9_2" xfId="809"/>
    <cellStyle name="_管理提案書A3.xls グラフ 9_3" xfId="810"/>
    <cellStyle name="’E‰Y [0.00]_?f?o‘O‰n香ELpect" xfId="811"/>
    <cellStyle name="’E‰Y_?f?o‘O‰n香ESONAL" xfId="812"/>
    <cellStyle name="£ BP" xfId="813"/>
    <cellStyle name="￡ BP" xfId="814"/>
    <cellStyle name="￥横付け" xfId="815"/>
    <cellStyle name="￥横付け 2" xfId="816"/>
    <cellStyle name="_x0001_·?_x0001_··?" xfId="817"/>
    <cellStyle name="_x0001_·?_x0001_··? 2" xfId="818"/>
    <cellStyle name="_x0001_・｢_x0001_・・義" xfId="819"/>
    <cellStyle name="_x0001_・｢_x0001_・・義 2" xfId="820"/>
    <cellStyle name="•W€_Cash Flow Yaesu" xfId="821"/>
    <cellStyle name="•W_surces &amp; uses" xfId="822"/>
    <cellStyle name="W_IIïÐTµ" xfId="823"/>
    <cellStyle name="1Normal" xfId="824"/>
    <cellStyle name="20% - Accent1" xfId="825"/>
    <cellStyle name="20% - Accent1 2" xfId="826"/>
    <cellStyle name="20% - Accent1 3" xfId="827"/>
    <cellStyle name="20% - Accent1 4" xfId="828"/>
    <cellStyle name="20% - Accent2" xfId="829"/>
    <cellStyle name="20% - Accent2 2" xfId="830"/>
    <cellStyle name="20% - Accent2 3" xfId="831"/>
    <cellStyle name="20% - Accent2 4" xfId="832"/>
    <cellStyle name="20% - Accent3" xfId="833"/>
    <cellStyle name="20% - Accent3 2" xfId="834"/>
    <cellStyle name="20% - Accent3 3" xfId="835"/>
    <cellStyle name="20% - Accent3 4" xfId="836"/>
    <cellStyle name="20% - Accent4" xfId="837"/>
    <cellStyle name="20% - Accent4 2" xfId="838"/>
    <cellStyle name="20% - Accent4 3" xfId="839"/>
    <cellStyle name="20% - Accent4 4" xfId="840"/>
    <cellStyle name="20% - Accent5" xfId="841"/>
    <cellStyle name="20% - Accent5 2" xfId="842"/>
    <cellStyle name="20% - Accent5 3" xfId="843"/>
    <cellStyle name="20% - Accent5 4" xfId="844"/>
    <cellStyle name="20% - Accent6" xfId="845"/>
    <cellStyle name="20% - Accent6 2" xfId="846"/>
    <cellStyle name="20% - Accent6 3" xfId="847"/>
    <cellStyle name="20% - Accent6 4" xfId="848"/>
    <cellStyle name="20% - アクセント 1" xfId="849"/>
    <cellStyle name="20% - アクセント 2" xfId="850"/>
    <cellStyle name="20% - アクセント 3" xfId="851"/>
    <cellStyle name="20% - アクセント 4" xfId="852"/>
    <cellStyle name="20% - アクセント 5" xfId="853"/>
    <cellStyle name="20% - アクセント 6" xfId="854"/>
    <cellStyle name="40% - Accent1" xfId="855"/>
    <cellStyle name="40% - Accent1 2" xfId="856"/>
    <cellStyle name="40% - Accent1 3" xfId="857"/>
    <cellStyle name="40% - Accent1 4" xfId="858"/>
    <cellStyle name="40% - Accent2" xfId="859"/>
    <cellStyle name="40% - Accent2 2" xfId="860"/>
    <cellStyle name="40% - Accent2 3" xfId="861"/>
    <cellStyle name="40% - Accent2 4" xfId="862"/>
    <cellStyle name="40% - Accent3" xfId="863"/>
    <cellStyle name="40% - Accent3 2" xfId="864"/>
    <cellStyle name="40% - Accent3 3" xfId="865"/>
    <cellStyle name="40% - Accent3 4" xfId="866"/>
    <cellStyle name="40% - Accent4" xfId="867"/>
    <cellStyle name="40% - Accent4 2" xfId="868"/>
    <cellStyle name="40% - Accent4 3" xfId="869"/>
    <cellStyle name="40% - Accent4 4" xfId="870"/>
    <cellStyle name="40% - Accent5" xfId="871"/>
    <cellStyle name="40% - Accent5 2" xfId="872"/>
    <cellStyle name="40% - Accent5 3" xfId="873"/>
    <cellStyle name="40% - Accent5 4" xfId="874"/>
    <cellStyle name="40% - Accent6" xfId="875"/>
    <cellStyle name="40% - Accent6 2" xfId="876"/>
    <cellStyle name="40% - Accent6 3" xfId="877"/>
    <cellStyle name="40% - Accent6 4" xfId="878"/>
    <cellStyle name="40% - アクセント 1" xfId="879"/>
    <cellStyle name="40% - アクセント 2" xfId="880"/>
    <cellStyle name="40% - アクセント 3" xfId="881"/>
    <cellStyle name="40% - アクセント 4" xfId="882"/>
    <cellStyle name="40% - アクセント 5" xfId="883"/>
    <cellStyle name="40% - アクセント 6" xfId="884"/>
    <cellStyle name="6-0" xfId="885"/>
    <cellStyle name="60% - Accent1" xfId="886"/>
    <cellStyle name="60% - Accent1 2" xfId="887"/>
    <cellStyle name="60% - Accent1 3" xfId="888"/>
    <cellStyle name="60% - Accent1 4" xfId="889"/>
    <cellStyle name="60% - Accent2" xfId="890"/>
    <cellStyle name="60% - Accent2 2" xfId="891"/>
    <cellStyle name="60% - Accent2 3" xfId="892"/>
    <cellStyle name="60% - Accent2 4" xfId="893"/>
    <cellStyle name="60% - Accent3" xfId="894"/>
    <cellStyle name="60% - Accent3 2" xfId="895"/>
    <cellStyle name="60% - Accent3 3" xfId="896"/>
    <cellStyle name="60% - Accent3 4" xfId="897"/>
    <cellStyle name="60% - Accent4" xfId="898"/>
    <cellStyle name="60% - Accent4 2" xfId="899"/>
    <cellStyle name="60% - Accent4 3" xfId="900"/>
    <cellStyle name="60% - Accent4 4" xfId="901"/>
    <cellStyle name="60% - Accent5" xfId="902"/>
    <cellStyle name="60% - Accent5 2" xfId="903"/>
    <cellStyle name="60% - Accent5 3" xfId="904"/>
    <cellStyle name="60% - Accent5 4" xfId="905"/>
    <cellStyle name="60% - Accent6" xfId="906"/>
    <cellStyle name="60% - Accent6 2" xfId="907"/>
    <cellStyle name="60% - Accent6 3" xfId="908"/>
    <cellStyle name="60% - Accent6 4" xfId="909"/>
    <cellStyle name="60% - アクセント 1" xfId="910"/>
    <cellStyle name="60% - アクセント 2" xfId="911"/>
    <cellStyle name="60% - アクセント 3" xfId="912"/>
    <cellStyle name="60% - アクセント 4" xfId="913"/>
    <cellStyle name="60% - アクセント 5" xfId="914"/>
    <cellStyle name="60% - アクセント 6" xfId="915"/>
    <cellStyle name="A" xfId="916"/>
    <cellStyle name="Accent1" xfId="917"/>
    <cellStyle name="Accent1 2" xfId="918"/>
    <cellStyle name="Accent1 3" xfId="919"/>
    <cellStyle name="Accent1 4" xfId="920"/>
    <cellStyle name="Accent2" xfId="921"/>
    <cellStyle name="Accent2 2" xfId="922"/>
    <cellStyle name="Accent2 3" xfId="923"/>
    <cellStyle name="Accent2 4" xfId="924"/>
    <cellStyle name="Accent3" xfId="925"/>
    <cellStyle name="Accent3 2" xfId="926"/>
    <cellStyle name="Accent3 3" xfId="927"/>
    <cellStyle name="Accent3 4" xfId="928"/>
    <cellStyle name="Accent4" xfId="929"/>
    <cellStyle name="Accent4 2" xfId="930"/>
    <cellStyle name="Accent4 3" xfId="931"/>
    <cellStyle name="Accent4 4" xfId="932"/>
    <cellStyle name="Accent5" xfId="933"/>
    <cellStyle name="Accent5 2" xfId="934"/>
    <cellStyle name="Accent5 3" xfId="935"/>
    <cellStyle name="Accent5 4" xfId="936"/>
    <cellStyle name="Accent6" xfId="937"/>
    <cellStyle name="Accent6 2" xfId="938"/>
    <cellStyle name="Accent6 3" xfId="939"/>
    <cellStyle name="Accent6 4" xfId="940"/>
    <cellStyle name="AFE" xfId="941"/>
    <cellStyle name="Bad" xfId="942"/>
    <cellStyle name="Bad 2" xfId="943"/>
    <cellStyle name="Bad 3" xfId="944"/>
    <cellStyle name="Bad 4" xfId="945"/>
    <cellStyle name="Blank [$]" xfId="946"/>
    <cellStyle name="Blank [%]" xfId="947"/>
    <cellStyle name="Blank [,]" xfId="948"/>
    <cellStyle name="Blank [1$]" xfId="949"/>
    <cellStyle name="Blank [1%]" xfId="950"/>
    <cellStyle name="Blank [1,]" xfId="951"/>
    <cellStyle name="Blank [2$]" xfId="952"/>
    <cellStyle name="Blank [2%]" xfId="953"/>
    <cellStyle name="Blank [2,]" xfId="954"/>
    <cellStyle name="Blank [3$]" xfId="955"/>
    <cellStyle name="Blank [3%]" xfId="956"/>
    <cellStyle name="Blank [3,]" xfId="957"/>
    <cellStyle name="Blank [D-M-Y]" xfId="958"/>
    <cellStyle name="Blank [K,]" xfId="959"/>
    <cellStyle name="BLUE" xfId="960"/>
    <cellStyle name="BLUE/桁区切り" xfId="961"/>
    <cellStyle name="Bold/Border" xfId="962"/>
    <cellStyle name="Bold8" xfId="963"/>
    <cellStyle name="BoldItalicNoUnderline" xfId="964"/>
    <cellStyle name="BoldSDoubUnderlineBack" xfId="965"/>
    <cellStyle name="BoldSingUnderline" xfId="966"/>
    <cellStyle name="Border Heavy" xfId="967"/>
    <cellStyle name="Border Thin" xfId="968"/>
    <cellStyle name="bottomHeavy" xfId="969"/>
    <cellStyle name="bottomHeavy-w-left" xfId="970"/>
    <cellStyle name="Brackets0" xfId="971"/>
    <cellStyle name="Bullet" xfId="972"/>
    <cellStyle name="Bullet 2" xfId="973"/>
    <cellStyle name="Calc Currency (0)" xfId="974"/>
    <cellStyle name="Calc Currency (0) 2" xfId="975"/>
    <cellStyle name="Calc Currency (2)" xfId="976"/>
    <cellStyle name="Calc Percent (0)" xfId="977"/>
    <cellStyle name="Calc Percent (1)" xfId="978"/>
    <cellStyle name="Calc Percent (2)" xfId="979"/>
    <cellStyle name="Calc Units (0)" xfId="980"/>
    <cellStyle name="Calc Units (1)" xfId="981"/>
    <cellStyle name="Calc Units (2)" xfId="982"/>
    <cellStyle name="Calculation" xfId="983"/>
    <cellStyle name="Calculation 2" xfId="984"/>
    <cellStyle name="Calculation 3" xfId="985"/>
    <cellStyle name="Calculation 4" xfId="986"/>
    <cellStyle name="Change A&amp;ll" xfId="987"/>
    <cellStyle name="Check Cell" xfId="988"/>
    <cellStyle name="Check Cell 2" xfId="989"/>
    <cellStyle name="Check Cell 3" xfId="990"/>
    <cellStyle name="Check Cell 4" xfId="991"/>
    <cellStyle name="ColumnHeading" xfId="992"/>
    <cellStyle name="Comma" xfId="993"/>
    <cellStyle name="Comma  - Style1" xfId="994"/>
    <cellStyle name="Comma  - Style1 2" xfId="995"/>
    <cellStyle name="Comma  - Style2" xfId="996"/>
    <cellStyle name="Comma  - Style2 2" xfId="997"/>
    <cellStyle name="Comma  - Style3" xfId="998"/>
    <cellStyle name="Comma  - Style3 2" xfId="999"/>
    <cellStyle name="Comma  - Style4" xfId="1000"/>
    <cellStyle name="Comma  - Style4 2" xfId="1001"/>
    <cellStyle name="Comma  - Style5" xfId="1002"/>
    <cellStyle name="Comma  - Style5 2" xfId="1003"/>
    <cellStyle name="Comma  - Style6" xfId="1004"/>
    <cellStyle name="Comma  - Style6 2" xfId="1005"/>
    <cellStyle name="Comma  - Style7" xfId="1006"/>
    <cellStyle name="Comma  - Style7 2" xfId="1007"/>
    <cellStyle name="Comma  - Style8" xfId="1008"/>
    <cellStyle name="Comma  - Style8 2" xfId="1009"/>
    <cellStyle name="Comma (0)" xfId="1010"/>
    <cellStyle name="Comma (1)" xfId="1011"/>
    <cellStyle name="Comma [0]" xfId="1012"/>
    <cellStyle name="Comma [0] 2" xfId="1013"/>
    <cellStyle name="Comma [0] 3" xfId="1014"/>
    <cellStyle name="Comma [00]" xfId="1015"/>
    <cellStyle name="Comma [1]" xfId="1016"/>
    <cellStyle name="Comma [2]" xfId="1017"/>
    <cellStyle name="Comma [3]" xfId="1018"/>
    <cellStyle name="Comma 10" xfId="1019"/>
    <cellStyle name="Comma 10 2" xfId="1020"/>
    <cellStyle name="Comma 100" xfId="1021"/>
    <cellStyle name="Comma 101" xfId="1022"/>
    <cellStyle name="Comma 102" xfId="1023"/>
    <cellStyle name="Comma 103" xfId="1024"/>
    <cellStyle name="Comma 104" xfId="1025"/>
    <cellStyle name="Comma 105" xfId="1026"/>
    <cellStyle name="Comma 106" xfId="1027"/>
    <cellStyle name="Comma 107" xfId="1028"/>
    <cellStyle name="Comma 108" xfId="1029"/>
    <cellStyle name="Comma 109" xfId="1030"/>
    <cellStyle name="Comma 11" xfId="1031"/>
    <cellStyle name="Comma 11 2" xfId="1032"/>
    <cellStyle name="Comma 110" xfId="1033"/>
    <cellStyle name="Comma 111" xfId="1034"/>
    <cellStyle name="Comma 112" xfId="1035"/>
    <cellStyle name="Comma 113" xfId="1036"/>
    <cellStyle name="Comma 114" xfId="1037"/>
    <cellStyle name="Comma 115" xfId="1038"/>
    <cellStyle name="Comma 116" xfId="1039"/>
    <cellStyle name="Comma 117" xfId="1040"/>
    <cellStyle name="Comma 118" xfId="1041"/>
    <cellStyle name="Comma 12" xfId="1042"/>
    <cellStyle name="Comma 12 2" xfId="1043"/>
    <cellStyle name="Comma 13" xfId="1044"/>
    <cellStyle name="Comma 13 2" xfId="1045"/>
    <cellStyle name="Comma 14" xfId="1046"/>
    <cellStyle name="Comma 14 2" xfId="1047"/>
    <cellStyle name="Comma 15" xfId="1048"/>
    <cellStyle name="Comma 15 2" xfId="1049"/>
    <cellStyle name="Comma 16" xfId="1050"/>
    <cellStyle name="Comma 16 2" xfId="1051"/>
    <cellStyle name="Comma 17" xfId="1052"/>
    <cellStyle name="Comma 17 2" xfId="1053"/>
    <cellStyle name="Comma 18" xfId="1054"/>
    <cellStyle name="Comma 18 2" xfId="1055"/>
    <cellStyle name="Comma 19" xfId="1056"/>
    <cellStyle name="Comma 19 2" xfId="1057"/>
    <cellStyle name="Comma 2" xfId="1058"/>
    <cellStyle name="Comma 2 2" xfId="1059"/>
    <cellStyle name="Comma 2 2 2" xfId="1060"/>
    <cellStyle name="Comma 2 3" xfId="1061"/>
    <cellStyle name="Comma 2 3 2" xfId="1062"/>
    <cellStyle name="Comma 2 4" xfId="1063"/>
    <cellStyle name="Comma 2 5" xfId="1064"/>
    <cellStyle name="Comma 20" xfId="1065"/>
    <cellStyle name="Comma 20 2" xfId="1066"/>
    <cellStyle name="Comma 21" xfId="1067"/>
    <cellStyle name="Comma 21 2" xfId="1068"/>
    <cellStyle name="Comma 22" xfId="1069"/>
    <cellStyle name="Comma 22 2" xfId="1070"/>
    <cellStyle name="Comma 22 3" xfId="1071"/>
    <cellStyle name="Comma 23" xfId="1072"/>
    <cellStyle name="Comma 23 2" xfId="1073"/>
    <cellStyle name="Comma 24" xfId="1074"/>
    <cellStyle name="Comma 24 2" xfId="1075"/>
    <cellStyle name="Comma 25" xfId="1076"/>
    <cellStyle name="Comma 25 2" xfId="1077"/>
    <cellStyle name="Comma 26" xfId="1078"/>
    <cellStyle name="Comma 27" xfId="1079"/>
    <cellStyle name="Comma 28" xfId="1080"/>
    <cellStyle name="Comma 29" xfId="1081"/>
    <cellStyle name="Comma 3" xfId="1082"/>
    <cellStyle name="Comma 3 2" xfId="1083"/>
    <cellStyle name="Comma 3 3" xfId="1084"/>
    <cellStyle name="Comma 30" xfId="1085"/>
    <cellStyle name="Comma 31" xfId="1086"/>
    <cellStyle name="Comma 32" xfId="1087"/>
    <cellStyle name="Comma 33" xfId="1088"/>
    <cellStyle name="Comma 34" xfId="1089"/>
    <cellStyle name="Comma 35" xfId="1090"/>
    <cellStyle name="Comma 36" xfId="1091"/>
    <cellStyle name="Comma 37" xfId="1092"/>
    <cellStyle name="Comma 38" xfId="1093"/>
    <cellStyle name="Comma 39" xfId="1094"/>
    <cellStyle name="Comma 4" xfId="1095"/>
    <cellStyle name="Comma 4 2" xfId="1096"/>
    <cellStyle name="Comma 4 2 2" xfId="1097"/>
    <cellStyle name="Comma 40" xfId="1098"/>
    <cellStyle name="Comma 41" xfId="1099"/>
    <cellStyle name="Comma 42" xfId="1100"/>
    <cellStyle name="Comma 43" xfId="1101"/>
    <cellStyle name="Comma 44" xfId="1102"/>
    <cellStyle name="Comma 45" xfId="1103"/>
    <cellStyle name="Comma 46" xfId="1104"/>
    <cellStyle name="Comma 47" xfId="1105"/>
    <cellStyle name="Comma 48" xfId="1106"/>
    <cellStyle name="Comma 49" xfId="1107"/>
    <cellStyle name="Comma 5" xfId="1108"/>
    <cellStyle name="Comma 50" xfId="1109"/>
    <cellStyle name="Comma 51" xfId="1110"/>
    <cellStyle name="Comma 52" xfId="1111"/>
    <cellStyle name="Comma 53" xfId="1112"/>
    <cellStyle name="Comma 54" xfId="1113"/>
    <cellStyle name="Comma 55" xfId="1114"/>
    <cellStyle name="Comma 56" xfId="1115"/>
    <cellStyle name="Comma 57" xfId="1116"/>
    <cellStyle name="Comma 58" xfId="1117"/>
    <cellStyle name="Comma 59" xfId="1118"/>
    <cellStyle name="Comma 6" xfId="1119"/>
    <cellStyle name="Comma 6 2" xfId="1120"/>
    <cellStyle name="Comma 60" xfId="1121"/>
    <cellStyle name="Comma 61" xfId="1122"/>
    <cellStyle name="Comma 62" xfId="1123"/>
    <cellStyle name="Comma 63" xfId="1124"/>
    <cellStyle name="Comma 64" xfId="1125"/>
    <cellStyle name="Comma 65" xfId="1126"/>
    <cellStyle name="Comma 66" xfId="1127"/>
    <cellStyle name="Comma 67" xfId="1128"/>
    <cellStyle name="Comma 68" xfId="1129"/>
    <cellStyle name="Comma 69" xfId="1130"/>
    <cellStyle name="Comma 7" xfId="1131"/>
    <cellStyle name="Comma 7 2" xfId="1132"/>
    <cellStyle name="Comma 70" xfId="1133"/>
    <cellStyle name="Comma 71" xfId="1134"/>
    <cellStyle name="Comma 72" xfId="1135"/>
    <cellStyle name="Comma 73" xfId="1136"/>
    <cellStyle name="Comma 74" xfId="1137"/>
    <cellStyle name="Comma 75" xfId="1138"/>
    <cellStyle name="Comma 76" xfId="1139"/>
    <cellStyle name="Comma 77" xfId="1140"/>
    <cellStyle name="Comma 78" xfId="1141"/>
    <cellStyle name="Comma 79" xfId="1142"/>
    <cellStyle name="Comma 8" xfId="1143"/>
    <cellStyle name="Comma 8 2" xfId="1144"/>
    <cellStyle name="Comma 80" xfId="1145"/>
    <cellStyle name="Comma 81" xfId="1146"/>
    <cellStyle name="Comma 82" xfId="1147"/>
    <cellStyle name="Comma 83" xfId="1148"/>
    <cellStyle name="Comma 84" xfId="1149"/>
    <cellStyle name="Comma 85" xfId="1150"/>
    <cellStyle name="Comma 86" xfId="1151"/>
    <cellStyle name="Comma 87" xfId="1152"/>
    <cellStyle name="Comma 88" xfId="1153"/>
    <cellStyle name="Comma 89" xfId="1154"/>
    <cellStyle name="Comma 9" xfId="1155"/>
    <cellStyle name="Comma 9 2" xfId="1156"/>
    <cellStyle name="Comma 90" xfId="1157"/>
    <cellStyle name="Comma 91" xfId="1158"/>
    <cellStyle name="Comma 92" xfId="1159"/>
    <cellStyle name="Comma 93" xfId="1160"/>
    <cellStyle name="Comma 94" xfId="1161"/>
    <cellStyle name="Comma 95" xfId="1162"/>
    <cellStyle name="Comma 96" xfId="1163"/>
    <cellStyle name="Comma 97" xfId="1164"/>
    <cellStyle name="Comma 98" xfId="1165"/>
    <cellStyle name="Comma 99" xfId="1166"/>
    <cellStyle name="Comma[0]" xfId="1167"/>
    <cellStyle name="Comma[2]" xfId="1168"/>
    <cellStyle name="Comma0" xfId="1169"/>
    <cellStyle name="Comma0 - Modelo1" xfId="1170"/>
    <cellStyle name="Comma0 - Style1" xfId="1171"/>
    <cellStyle name="Comma0 2" xfId="1172"/>
    <cellStyle name="Comma0 3" xfId="1173"/>
    <cellStyle name="Comma0 4" xfId="1174"/>
    <cellStyle name="Comma0 5" xfId="1175"/>
    <cellStyle name="Comma0 6" xfId="1176"/>
    <cellStyle name="Comma0 7" xfId="1177"/>
    <cellStyle name="Comma0 8" xfId="1178"/>
    <cellStyle name="Comma1 - Modelo2" xfId="1179"/>
    <cellStyle name="Comma1 - Style2" xfId="1180"/>
    <cellStyle name="CommaFixed" xfId="1181"/>
    <cellStyle name="CommaNoDec" xfId="1182"/>
    <cellStyle name="CommaNoDecTot" xfId="1183"/>
    <cellStyle name="CommaTotTop" xfId="1184"/>
    <cellStyle name="CommaTotTopNoDec" xfId="1185"/>
    <cellStyle name="Contracts" xfId="1186"/>
    <cellStyle name="Copied" xfId="1187"/>
    <cellStyle name="Curr?ncy [0]_Sheet1_1" xfId="1188"/>
    <cellStyle name="Currency" xfId="1189"/>
    <cellStyle name="Currency (0)" xfId="1190"/>
    <cellStyle name="Currency (1)" xfId="1191"/>
    <cellStyle name="Currency [¥]" xfId="1192"/>
    <cellStyle name="Currency [¥] 2" xfId="1193"/>
    <cellStyle name="Currency [0]" xfId="1194"/>
    <cellStyle name="Currency [00]" xfId="1195"/>
    <cellStyle name="Currency [1]" xfId="1196"/>
    <cellStyle name="Currency [2]" xfId="1197"/>
    <cellStyle name="Currency [3]" xfId="1198"/>
    <cellStyle name="Currency 10" xfId="1199"/>
    <cellStyle name="Currency 11" xfId="1200"/>
    <cellStyle name="Currency 11 2" xfId="1201"/>
    <cellStyle name="Currency 12" xfId="1202"/>
    <cellStyle name="Currency 12 2" xfId="1203"/>
    <cellStyle name="Currency 13" xfId="1204"/>
    <cellStyle name="Currency 14" xfId="1205"/>
    <cellStyle name="Currency 15" xfId="1206"/>
    <cellStyle name="Currency 16" xfId="1207"/>
    <cellStyle name="Currency 17" xfId="1208"/>
    <cellStyle name="Currency 18" xfId="1209"/>
    <cellStyle name="Currency 19" xfId="1210"/>
    <cellStyle name="Currency 2" xfId="1211"/>
    <cellStyle name="Currency 2 2" xfId="1212"/>
    <cellStyle name="Currency 2 2 2" xfId="1213"/>
    <cellStyle name="Currency 20" xfId="1214"/>
    <cellStyle name="Currency 21" xfId="1215"/>
    <cellStyle name="Currency 22" xfId="1216"/>
    <cellStyle name="Currency 23" xfId="1217"/>
    <cellStyle name="Currency 24" xfId="1218"/>
    <cellStyle name="Currency 25" xfId="1219"/>
    <cellStyle name="Currency 26" xfId="1220"/>
    <cellStyle name="Currency 27" xfId="1221"/>
    <cellStyle name="Currency 28" xfId="1222"/>
    <cellStyle name="Currency 29" xfId="1223"/>
    <cellStyle name="Currency 3" xfId="1224"/>
    <cellStyle name="Currency 3 2" xfId="1225"/>
    <cellStyle name="Currency 30" xfId="1226"/>
    <cellStyle name="Currency 31" xfId="1227"/>
    <cellStyle name="Currency 32" xfId="1228"/>
    <cellStyle name="Currency 33" xfId="1229"/>
    <cellStyle name="Currency 34" xfId="1230"/>
    <cellStyle name="Currency 35" xfId="1231"/>
    <cellStyle name="Currency 36" xfId="1232"/>
    <cellStyle name="Currency 37" xfId="1233"/>
    <cellStyle name="Currency 38" xfId="1234"/>
    <cellStyle name="Currency 39" xfId="1235"/>
    <cellStyle name="Currency 4" xfId="1236"/>
    <cellStyle name="Currency 4 2 2" xfId="1237"/>
    <cellStyle name="Currency 40" xfId="1238"/>
    <cellStyle name="Currency 41" xfId="1239"/>
    <cellStyle name="Currency 42" xfId="1240"/>
    <cellStyle name="Currency 43" xfId="1241"/>
    <cellStyle name="Currency 44" xfId="1242"/>
    <cellStyle name="Currency 45" xfId="1243"/>
    <cellStyle name="Currency 46" xfId="1244"/>
    <cellStyle name="Currency 47" xfId="1245"/>
    <cellStyle name="Currency 48" xfId="1246"/>
    <cellStyle name="Currency 49" xfId="1247"/>
    <cellStyle name="Currency 5" xfId="1248"/>
    <cellStyle name="Currency 5 2" xfId="1249"/>
    <cellStyle name="Currency 5 3" xfId="1250"/>
    <cellStyle name="Currency 5 4" xfId="1251"/>
    <cellStyle name="Currency 50" xfId="1252"/>
    <cellStyle name="Currency 51" xfId="1253"/>
    <cellStyle name="Currency 52" xfId="1254"/>
    <cellStyle name="Currency 53" xfId="1255"/>
    <cellStyle name="Currency 54" xfId="1256"/>
    <cellStyle name="Currency 55" xfId="1257"/>
    <cellStyle name="Currency 56" xfId="1258"/>
    <cellStyle name="Currency 57" xfId="1259"/>
    <cellStyle name="Currency 58" xfId="1260"/>
    <cellStyle name="Currency 59" xfId="1261"/>
    <cellStyle name="Currency 6" xfId="1262"/>
    <cellStyle name="Currency 6 2" xfId="1263"/>
    <cellStyle name="Currency 60" xfId="1264"/>
    <cellStyle name="Currency 61" xfId="1265"/>
    <cellStyle name="Currency 62" xfId="1266"/>
    <cellStyle name="Currency 63" xfId="1267"/>
    <cellStyle name="Currency 64" xfId="1268"/>
    <cellStyle name="Currency 65" xfId="1269"/>
    <cellStyle name="Currency 66" xfId="1270"/>
    <cellStyle name="Currency 67" xfId="1271"/>
    <cellStyle name="Currency 68" xfId="1272"/>
    <cellStyle name="Currency 69" xfId="1273"/>
    <cellStyle name="Currency 7" xfId="1274"/>
    <cellStyle name="Currency 7 2" xfId="1275"/>
    <cellStyle name="Currency 70" xfId="1276"/>
    <cellStyle name="Currency 71" xfId="1277"/>
    <cellStyle name="Currency 72" xfId="1278"/>
    <cellStyle name="Currency 73" xfId="1279"/>
    <cellStyle name="Currency 74" xfId="1280"/>
    <cellStyle name="Currency 75" xfId="1281"/>
    <cellStyle name="Currency 76" xfId="1282"/>
    <cellStyle name="Currency 77" xfId="1283"/>
    <cellStyle name="Currency 78" xfId="1284"/>
    <cellStyle name="Currency 79" xfId="1285"/>
    <cellStyle name="Currency 8" xfId="1286"/>
    <cellStyle name="Currency 8 2" xfId="1287"/>
    <cellStyle name="Currency 80" xfId="1288"/>
    <cellStyle name="Currency 81" xfId="1289"/>
    <cellStyle name="Currency 82" xfId="1290"/>
    <cellStyle name="Currency 83" xfId="1291"/>
    <cellStyle name="Currency 84" xfId="1292"/>
    <cellStyle name="Currency 85" xfId="1293"/>
    <cellStyle name="Currency 86" xfId="1294"/>
    <cellStyle name="Currency 87" xfId="1295"/>
    <cellStyle name="Currency 88" xfId="1296"/>
    <cellStyle name="Currency 89" xfId="1297"/>
    <cellStyle name="Currency 9" xfId="1298"/>
    <cellStyle name="Currency 9 2" xfId="1299"/>
    <cellStyle name="Currency 90" xfId="1300"/>
    <cellStyle name="Currency 91" xfId="1301"/>
    <cellStyle name="Currency 92" xfId="1302"/>
    <cellStyle name="Currency 93" xfId="1303"/>
    <cellStyle name="Currency 94" xfId="1304"/>
    <cellStyle name="Currency 95" xfId="1305"/>
    <cellStyle name="Currency$[0]" xfId="1306"/>
    <cellStyle name="Currency$[2]" xfId="1307"/>
    <cellStyle name="Currency\[0]" xfId="1308"/>
    <cellStyle name="Currency\[0] 2" xfId="1309"/>
    <cellStyle name="CurrencyTotTop[" xfId="1310"/>
    <cellStyle name="D" xfId="1311"/>
    <cellStyle name="Dash" xfId="1312"/>
    <cellStyle name="Dash 2" xfId="1313"/>
    <cellStyle name="Date" xfId="1314"/>
    <cellStyle name="Date (m/d/y)" xfId="1315"/>
    <cellStyle name="Date [D-M-Y]" xfId="1316"/>
    <cellStyle name="Date [M/D/Y]" xfId="1317"/>
    <cellStyle name="Date [M/Y]" xfId="1318"/>
    <cellStyle name="Date [M-Y]" xfId="1319"/>
    <cellStyle name="Date_【大森H】マスターリース賃料内訳" xfId="1320"/>
    <cellStyle name="DATETIME" xfId="1321"/>
    <cellStyle name="dgw" xfId="1322"/>
    <cellStyle name="DLJ Terms" xfId="1323"/>
    <cellStyle name="Dollars" xfId="1324"/>
    <cellStyle name="Entered" xfId="1325"/>
    <cellStyle name="entry" xfId="1326"/>
    <cellStyle name="Euro" xfId="1327"/>
    <cellStyle name="EvenBodyShade" xfId="1328"/>
    <cellStyle name="Explanatory Text" xfId="1329"/>
    <cellStyle name="Explanatory Text 2" xfId="1330"/>
    <cellStyle name="Explanatory Text 3" xfId="1331"/>
    <cellStyle name="Explanatory Text 4" xfId="1332"/>
    <cellStyle name="EYtext" xfId="1333"/>
    <cellStyle name="F1" xfId="1334"/>
    <cellStyle name="F2" xfId="1335"/>
    <cellStyle name="F3" xfId="1336"/>
    <cellStyle name="F4" xfId="1337"/>
    <cellStyle name="F5" xfId="1338"/>
    <cellStyle name="F6" xfId="1339"/>
    <cellStyle name="F7" xfId="1340"/>
    <cellStyle name="F8" xfId="1341"/>
    <cellStyle name="Followed Hyperlink" xfId="1342"/>
    <cellStyle name="Fraction" xfId="1343"/>
    <cellStyle name="Fraction [8]" xfId="1344"/>
    <cellStyle name="Fraction [Bl]" xfId="1345"/>
    <cellStyle name="Good" xfId="1346"/>
    <cellStyle name="Good 2" xfId="1347"/>
    <cellStyle name="Good 3" xfId="1348"/>
    <cellStyle name="Good 4" xfId="1349"/>
    <cellStyle name="GrandTotal" xfId="1350"/>
    <cellStyle name="Grey" xfId="1351"/>
    <cellStyle name="Grey 2" xfId="1352"/>
    <cellStyle name="Head1" xfId="1353"/>
    <cellStyle name="Head2" xfId="1354"/>
    <cellStyle name="Head3" xfId="1355"/>
    <cellStyle name="Head4" xfId="1356"/>
    <cellStyle name="Head5" xfId="1357"/>
    <cellStyle name="Head6" xfId="1358"/>
    <cellStyle name="Head7" xfId="1359"/>
    <cellStyle name="Head8" xfId="1360"/>
    <cellStyle name="Head9" xfId="1361"/>
    <cellStyle name="Header1" xfId="1362"/>
    <cellStyle name="Header2" xfId="1363"/>
    <cellStyle name="heading" xfId="1364"/>
    <cellStyle name="Heading 1" xfId="1365"/>
    <cellStyle name="Heading 1 2" xfId="1366"/>
    <cellStyle name="Heading 1 3" xfId="1367"/>
    <cellStyle name="Heading 1 4" xfId="1368"/>
    <cellStyle name="Heading 2" xfId="1369"/>
    <cellStyle name="Heading 2 2" xfId="1370"/>
    <cellStyle name="Heading 2 3" xfId="1371"/>
    <cellStyle name="Heading 2 4" xfId="1372"/>
    <cellStyle name="Heading 3" xfId="1373"/>
    <cellStyle name="Heading 3 2" xfId="1374"/>
    <cellStyle name="Heading 3 3" xfId="1375"/>
    <cellStyle name="Heading 3 4" xfId="1376"/>
    <cellStyle name="Heading 4" xfId="1377"/>
    <cellStyle name="Heading 4 2" xfId="1378"/>
    <cellStyle name="Heading 4 3" xfId="1379"/>
    <cellStyle name="Heading 4 4" xfId="1380"/>
    <cellStyle name="HeadShade" xfId="1381"/>
    <cellStyle name="Hidden" xfId="1382"/>
    <cellStyle name="Hyperlink" xfId="1383"/>
    <cellStyle name="I" xfId="1384"/>
    <cellStyle name="Inhaltsverzeichnispunke" xfId="1385"/>
    <cellStyle name="Input" xfId="1386"/>
    <cellStyle name="Input [yellow]" xfId="1387"/>
    <cellStyle name="Input [yellow] 2" xfId="1388"/>
    <cellStyle name="Input 10" xfId="1389"/>
    <cellStyle name="Input 11" xfId="1390"/>
    <cellStyle name="Input 12" xfId="1391"/>
    <cellStyle name="Input 13" xfId="1392"/>
    <cellStyle name="Input 14" xfId="1393"/>
    <cellStyle name="Input 15" xfId="1394"/>
    <cellStyle name="Input 16" xfId="1395"/>
    <cellStyle name="Input 17" xfId="1396"/>
    <cellStyle name="Input 18" xfId="1397"/>
    <cellStyle name="Input 19" xfId="1398"/>
    <cellStyle name="Input 2" xfId="1399"/>
    <cellStyle name="Input 20" xfId="1400"/>
    <cellStyle name="Input 21" xfId="1401"/>
    <cellStyle name="Input 22" xfId="1402"/>
    <cellStyle name="Input 23" xfId="1403"/>
    <cellStyle name="Input 24" xfId="1404"/>
    <cellStyle name="Input 25" xfId="1405"/>
    <cellStyle name="Input 26" xfId="1406"/>
    <cellStyle name="Input 27" xfId="1407"/>
    <cellStyle name="Input 28" xfId="1408"/>
    <cellStyle name="Input 29" xfId="1409"/>
    <cellStyle name="Input 3" xfId="1410"/>
    <cellStyle name="Input 30" xfId="1411"/>
    <cellStyle name="Input 31" xfId="1412"/>
    <cellStyle name="Input 32" xfId="1413"/>
    <cellStyle name="Input 33" xfId="1414"/>
    <cellStyle name="Input 34" xfId="1415"/>
    <cellStyle name="Input 35" xfId="1416"/>
    <cellStyle name="Input 36" xfId="1417"/>
    <cellStyle name="Input 37" xfId="1418"/>
    <cellStyle name="Input 38" xfId="1419"/>
    <cellStyle name="Input 39" xfId="1420"/>
    <cellStyle name="Input 4" xfId="1421"/>
    <cellStyle name="Input 40" xfId="1422"/>
    <cellStyle name="Input 41" xfId="1423"/>
    <cellStyle name="Input 42" xfId="1424"/>
    <cellStyle name="Input 43" xfId="1425"/>
    <cellStyle name="Input 44" xfId="1426"/>
    <cellStyle name="Input 45" xfId="1427"/>
    <cellStyle name="Input 46" xfId="1428"/>
    <cellStyle name="Input 47" xfId="1429"/>
    <cellStyle name="Input 48" xfId="1430"/>
    <cellStyle name="Input 49" xfId="1431"/>
    <cellStyle name="Input 5" xfId="1432"/>
    <cellStyle name="Input 50" xfId="1433"/>
    <cellStyle name="Input 51" xfId="1434"/>
    <cellStyle name="Input 52" xfId="1435"/>
    <cellStyle name="Input 53" xfId="1436"/>
    <cellStyle name="Input 54" xfId="1437"/>
    <cellStyle name="Input 55" xfId="1438"/>
    <cellStyle name="Input 56" xfId="1439"/>
    <cellStyle name="Input 57" xfId="1440"/>
    <cellStyle name="Input 58" xfId="1441"/>
    <cellStyle name="Input 59" xfId="1442"/>
    <cellStyle name="Input 6" xfId="1443"/>
    <cellStyle name="Input 60" xfId="1444"/>
    <cellStyle name="Input 61" xfId="1445"/>
    <cellStyle name="Input 62" xfId="1446"/>
    <cellStyle name="Input 63" xfId="1447"/>
    <cellStyle name="Input 64" xfId="1448"/>
    <cellStyle name="Input 65" xfId="1449"/>
    <cellStyle name="Input 66" xfId="1450"/>
    <cellStyle name="Input 67" xfId="1451"/>
    <cellStyle name="Input 68" xfId="1452"/>
    <cellStyle name="Input 69" xfId="1453"/>
    <cellStyle name="Input 7" xfId="1454"/>
    <cellStyle name="Input 70" xfId="1455"/>
    <cellStyle name="Input 71" xfId="1456"/>
    <cellStyle name="Input 72" xfId="1457"/>
    <cellStyle name="Input 73" xfId="1458"/>
    <cellStyle name="Input 74" xfId="1459"/>
    <cellStyle name="Input 75" xfId="1460"/>
    <cellStyle name="Input 76" xfId="1461"/>
    <cellStyle name="Input 77" xfId="1462"/>
    <cellStyle name="Input 78" xfId="1463"/>
    <cellStyle name="Input 8" xfId="1464"/>
    <cellStyle name="Input 9" xfId="1465"/>
    <cellStyle name="InputBlueFont" xfId="1466"/>
    <cellStyle name="left" xfId="1467"/>
    <cellStyle name="Linked Cell" xfId="1468"/>
    <cellStyle name="Linked Cell 2" xfId="1469"/>
    <cellStyle name="Linked Cell 3" xfId="1470"/>
    <cellStyle name="Linked Cell 4" xfId="1471"/>
    <cellStyle name="M" xfId="1472"/>
    <cellStyle name="MainData" xfId="1473"/>
    <cellStyle name="MajorTotal" xfId="1474"/>
    <cellStyle name="Millares [0]_pldt" xfId="1475"/>
    <cellStyle name="Millares_pldt" xfId="1476"/>
    <cellStyle name="Milliers [0]_laroux" xfId="1477"/>
    <cellStyle name="Milliers_laroux" xfId="1478"/>
    <cellStyle name="Moneda [0]_pldt" xfId="1479"/>
    <cellStyle name="Moneda_pldt" xfId="1480"/>
    <cellStyle name="Mon騁aire [0]_laroux" xfId="1481"/>
    <cellStyle name="Mon騁aire_laroux" xfId="1482"/>
    <cellStyle name="Multiple" xfId="1483"/>
    <cellStyle name="Multiple [0]" xfId="1484"/>
    <cellStyle name="Multiple [1]" xfId="1485"/>
    <cellStyle name="Multiple_●4月度札幌泉ビル（20070301-20070331）" xfId="1486"/>
    <cellStyle name="Neutral" xfId="1487"/>
    <cellStyle name="Neutral 2" xfId="1488"/>
    <cellStyle name="Neutral 3" xfId="1489"/>
    <cellStyle name="Neutral 4" xfId="1490"/>
    <cellStyle name="new" xfId="1491"/>
    <cellStyle name="new 2" xfId="1492"/>
    <cellStyle name="new change" xfId="1493"/>
    <cellStyle name="new_071103_Keypoint_Forecast_2007_&amp;_2008(1)" xfId="1494"/>
    <cellStyle name="no dec" xfId="1495"/>
    <cellStyle name="norma" xfId="1496"/>
    <cellStyle name="Normal - Style1" xfId="1497"/>
    <cellStyle name="Normal - Style1 2" xfId="1498"/>
    <cellStyle name="Normal 10" xfId="1499"/>
    <cellStyle name="Normal 100" xfId="1500"/>
    <cellStyle name="Normal 101" xfId="1501"/>
    <cellStyle name="Normal 102" xfId="1502"/>
    <cellStyle name="Normal 103" xfId="1503"/>
    <cellStyle name="Normal 104" xfId="1504"/>
    <cellStyle name="Normal 11" xfId="1505"/>
    <cellStyle name="Normal 12" xfId="1506"/>
    <cellStyle name="Normal 13" xfId="1507"/>
    <cellStyle name="Normal 14" xfId="1508"/>
    <cellStyle name="Normal 15" xfId="1509"/>
    <cellStyle name="Normal 16" xfId="1510"/>
    <cellStyle name="Normal 17" xfId="1511"/>
    <cellStyle name="Normal 18" xfId="1512"/>
    <cellStyle name="Normal 19" xfId="1513"/>
    <cellStyle name="Normal 2" xfId="1514"/>
    <cellStyle name="Normal 2 2" xfId="1515"/>
    <cellStyle name="Normal 2 2 2" xfId="1516"/>
    <cellStyle name="Normal 2 3" xfId="1517"/>
    <cellStyle name="Normal 2 4" xfId="1518"/>
    <cellStyle name="Normal 20" xfId="1519"/>
    <cellStyle name="Normal 21" xfId="1520"/>
    <cellStyle name="Normal 22" xfId="1521"/>
    <cellStyle name="Normal 23" xfId="1522"/>
    <cellStyle name="Normal 24" xfId="1523"/>
    <cellStyle name="Normal 25" xfId="1524"/>
    <cellStyle name="Normal 26" xfId="1525"/>
    <cellStyle name="Normal 27" xfId="1526"/>
    <cellStyle name="Normal 28" xfId="1527"/>
    <cellStyle name="Normal 29" xfId="1528"/>
    <cellStyle name="Normal 3" xfId="1529"/>
    <cellStyle name="Normal 3 2" xfId="1530"/>
    <cellStyle name="Normal 3 3" xfId="1531"/>
    <cellStyle name="Normal 3_55MKT -Financial Report - Sep 09(1)" xfId="1532"/>
    <cellStyle name="Normal 30" xfId="1533"/>
    <cellStyle name="Normal 31" xfId="1534"/>
    <cellStyle name="Normal 32" xfId="1535"/>
    <cellStyle name="Normal 33" xfId="1536"/>
    <cellStyle name="Normal 34" xfId="1537"/>
    <cellStyle name="Normal 35" xfId="1538"/>
    <cellStyle name="Normal 36" xfId="1539"/>
    <cellStyle name="Normal 37" xfId="1540"/>
    <cellStyle name="Normal 38" xfId="1541"/>
    <cellStyle name="Normal 39" xfId="1542"/>
    <cellStyle name="Normal 4" xfId="1543"/>
    <cellStyle name="Normal 40" xfId="1544"/>
    <cellStyle name="Normal 41" xfId="1545"/>
    <cellStyle name="Normal 42" xfId="1546"/>
    <cellStyle name="Normal 43" xfId="1547"/>
    <cellStyle name="Normal 44" xfId="1548"/>
    <cellStyle name="Normal 45" xfId="1549"/>
    <cellStyle name="Normal 46" xfId="1550"/>
    <cellStyle name="Normal 47" xfId="1551"/>
    <cellStyle name="Normal 48" xfId="1552"/>
    <cellStyle name="Normal 49" xfId="1553"/>
    <cellStyle name="Normal 5" xfId="1554"/>
    <cellStyle name="Normal 5 2" xfId="1555"/>
    <cellStyle name="Normal 50" xfId="1556"/>
    <cellStyle name="Normal 51" xfId="1557"/>
    <cellStyle name="Normal 52" xfId="1558"/>
    <cellStyle name="Normal 53" xfId="1559"/>
    <cellStyle name="Normal 54" xfId="1560"/>
    <cellStyle name="Normal 55" xfId="1561"/>
    <cellStyle name="Normal 56" xfId="1562"/>
    <cellStyle name="Normal 57" xfId="1563"/>
    <cellStyle name="Normal 58" xfId="1564"/>
    <cellStyle name="Normal 59" xfId="1565"/>
    <cellStyle name="Normal 6" xfId="1566"/>
    <cellStyle name="Normal 60" xfId="1567"/>
    <cellStyle name="Normal 61" xfId="1568"/>
    <cellStyle name="Normal 62" xfId="1569"/>
    <cellStyle name="Normal 63" xfId="1570"/>
    <cellStyle name="Normal 64" xfId="1571"/>
    <cellStyle name="Normal 65" xfId="1572"/>
    <cellStyle name="Normal 66" xfId="1573"/>
    <cellStyle name="Normal 67" xfId="1574"/>
    <cellStyle name="Normal 68" xfId="1575"/>
    <cellStyle name="Normal 69" xfId="1576"/>
    <cellStyle name="Normal 7" xfId="1577"/>
    <cellStyle name="Normal 70" xfId="1578"/>
    <cellStyle name="Normal 71" xfId="1579"/>
    <cellStyle name="Normal 72" xfId="1580"/>
    <cellStyle name="Normal 73" xfId="1581"/>
    <cellStyle name="Normal 74" xfId="1582"/>
    <cellStyle name="Normal 75" xfId="1583"/>
    <cellStyle name="Normal 76" xfId="1584"/>
    <cellStyle name="Normal 77" xfId="1585"/>
    <cellStyle name="Normal 78" xfId="1586"/>
    <cellStyle name="Normal 79" xfId="1587"/>
    <cellStyle name="Normal 8" xfId="1588"/>
    <cellStyle name="Normal 8 2" xfId="1589"/>
    <cellStyle name="Normal 80" xfId="1590"/>
    <cellStyle name="Normal 81" xfId="1591"/>
    <cellStyle name="Normal 82" xfId="1592"/>
    <cellStyle name="Normal 83" xfId="1593"/>
    <cellStyle name="Normal 84" xfId="1594"/>
    <cellStyle name="Normal 85" xfId="1595"/>
    <cellStyle name="Normal 86" xfId="1596"/>
    <cellStyle name="Normal 87" xfId="1597"/>
    <cellStyle name="Normal 88" xfId="1598"/>
    <cellStyle name="Normal 89" xfId="1599"/>
    <cellStyle name="Normal 9" xfId="1600"/>
    <cellStyle name="Normal 9 2" xfId="1601"/>
    <cellStyle name="Normal 90" xfId="1602"/>
    <cellStyle name="Normal 91" xfId="1603"/>
    <cellStyle name="Normal 92" xfId="1604"/>
    <cellStyle name="Normal 93" xfId="1605"/>
    <cellStyle name="Normal 94" xfId="1606"/>
    <cellStyle name="Normal 95" xfId="1607"/>
    <cellStyle name="Normal 96" xfId="1608"/>
    <cellStyle name="Normal 97" xfId="1609"/>
    <cellStyle name="Normal 98" xfId="1610"/>
    <cellStyle name="Normal 99" xfId="1611"/>
    <cellStyle name="NormalBack" xfId="1612"/>
    <cellStyle name="NormalBorder" xfId="1613"/>
    <cellStyle name="NormalLeft" xfId="1614"/>
    <cellStyle name="NormalOPrint_Module_E (2)" xfId="1615"/>
    <cellStyle name="NormalRightNum" xfId="1616"/>
    <cellStyle name="NormalRightPercent" xfId="1617"/>
    <cellStyle name="Norm伀l_D_TR_OI" xfId="1618"/>
    <cellStyle name="Note" xfId="1619"/>
    <cellStyle name="Note 2" xfId="1620"/>
    <cellStyle name="Note 3" xfId="1621"/>
    <cellStyle name="Note 4" xfId="1622"/>
    <cellStyle name="nPlode1" xfId="1623"/>
    <cellStyle name="nPlosion" xfId="1624"/>
    <cellStyle name="NPRO" xfId="1625"/>
    <cellStyle name="OddBodyShade" xfId="1626"/>
    <cellStyle name="Œ…‹æØ‚è [0.00]_CF(5yrs)" xfId="1627"/>
    <cellStyle name="Œ…‹æØ‚è_Kyowa2 " xfId="1628"/>
    <cellStyle name="OutlineSpec" xfId="1629"/>
    <cellStyle name="Output" xfId="1630"/>
    <cellStyle name="Output 2" xfId="1631"/>
    <cellStyle name="Output 3" xfId="1632"/>
    <cellStyle name="Output 4" xfId="1633"/>
    <cellStyle name="Overscore" xfId="1634"/>
    <cellStyle name="Overunder" xfId="1635"/>
    <cellStyle name="P" xfId="1636"/>
    <cellStyle name="Page Heading Large" xfId="1637"/>
    <cellStyle name="Page Heading Small" xfId="1638"/>
    <cellStyle name="Percent" xfId="1639"/>
    <cellStyle name="Percent (1)" xfId="1640"/>
    <cellStyle name="Percent (2)" xfId="1641"/>
    <cellStyle name="Percent [0]" xfId="1642"/>
    <cellStyle name="Percent [1]" xfId="1643"/>
    <cellStyle name="Percent [2]" xfId="1644"/>
    <cellStyle name="Percent [2] 2" xfId="1645"/>
    <cellStyle name="Percent [3]" xfId="1646"/>
    <cellStyle name="Percent 10" xfId="1647"/>
    <cellStyle name="Percent 10 2" xfId="1648"/>
    <cellStyle name="Percent 10 3" xfId="1649"/>
    <cellStyle name="Percent 10 4" xfId="1650"/>
    <cellStyle name="Percent 100" xfId="1651"/>
    <cellStyle name="Percent 101" xfId="1652"/>
    <cellStyle name="Percent 102" xfId="1653"/>
    <cellStyle name="Percent 103" xfId="1654"/>
    <cellStyle name="Percent 104" xfId="1655"/>
    <cellStyle name="Percent 105" xfId="1656"/>
    <cellStyle name="Percent 106" xfId="1657"/>
    <cellStyle name="Percent 107" xfId="1658"/>
    <cellStyle name="Percent 108" xfId="1659"/>
    <cellStyle name="Percent 109" xfId="1660"/>
    <cellStyle name="Percent 11" xfId="1661"/>
    <cellStyle name="Percent 110" xfId="1662"/>
    <cellStyle name="Percent 111" xfId="1663"/>
    <cellStyle name="Percent 112" xfId="1664"/>
    <cellStyle name="Percent 113" xfId="1665"/>
    <cellStyle name="Percent 114" xfId="1666"/>
    <cellStyle name="Percent 115" xfId="1667"/>
    <cellStyle name="Percent 116" xfId="1668"/>
    <cellStyle name="Percent 117" xfId="1669"/>
    <cellStyle name="Percent 118" xfId="1670"/>
    <cellStyle name="Percent 119" xfId="1671"/>
    <cellStyle name="Percent 12" xfId="1672"/>
    <cellStyle name="Percent 12 2" xfId="1673"/>
    <cellStyle name="Percent 120" xfId="1674"/>
    <cellStyle name="Percent 121" xfId="1675"/>
    <cellStyle name="Percent 122" xfId="1676"/>
    <cellStyle name="Percent 123" xfId="1677"/>
    <cellStyle name="Percent 13" xfId="1678"/>
    <cellStyle name="Percent 13 2" xfId="1679"/>
    <cellStyle name="Percent 14" xfId="1680"/>
    <cellStyle name="Percent 14 2" xfId="1681"/>
    <cellStyle name="Percent 15" xfId="1682"/>
    <cellStyle name="Percent 15 2" xfId="1683"/>
    <cellStyle name="Percent 15 3" xfId="1684"/>
    <cellStyle name="Percent 16" xfId="1685"/>
    <cellStyle name="Percent 16 2" xfId="1686"/>
    <cellStyle name="Percent 17" xfId="1687"/>
    <cellStyle name="Percent 17 2" xfId="1688"/>
    <cellStyle name="Percent 18" xfId="1689"/>
    <cellStyle name="Percent 18 2" xfId="1690"/>
    <cellStyle name="Percent 19" xfId="1691"/>
    <cellStyle name="Percent 19 2" xfId="1692"/>
    <cellStyle name="Percent 2" xfId="1693"/>
    <cellStyle name="Percent 2 2" xfId="1694"/>
    <cellStyle name="Percent 2 2 2" xfId="1695"/>
    <cellStyle name="Percent 2 3" xfId="1696"/>
    <cellStyle name="Percent 2 4" xfId="1697"/>
    <cellStyle name="Percent 2 5" xfId="1698"/>
    <cellStyle name="Percent 20" xfId="1699"/>
    <cellStyle name="Percent 21" xfId="1700"/>
    <cellStyle name="Percent 22" xfId="1701"/>
    <cellStyle name="Percent 23" xfId="1702"/>
    <cellStyle name="Percent 24" xfId="1703"/>
    <cellStyle name="Percent 25" xfId="1704"/>
    <cellStyle name="Percent 26" xfId="1705"/>
    <cellStyle name="Percent 27" xfId="1706"/>
    <cellStyle name="Percent 28" xfId="1707"/>
    <cellStyle name="Percent 29" xfId="1708"/>
    <cellStyle name="Percent 3" xfId="1709"/>
    <cellStyle name="Percent 3 2" xfId="1710"/>
    <cellStyle name="Percent 3 2 2" xfId="1711"/>
    <cellStyle name="Percent 30" xfId="1712"/>
    <cellStyle name="Percent 31" xfId="1713"/>
    <cellStyle name="Percent 32" xfId="1714"/>
    <cellStyle name="Percent 33" xfId="1715"/>
    <cellStyle name="Percent 34" xfId="1716"/>
    <cellStyle name="Percent 35" xfId="1717"/>
    <cellStyle name="Percent 36" xfId="1718"/>
    <cellStyle name="Percent 37" xfId="1719"/>
    <cellStyle name="Percent 38" xfId="1720"/>
    <cellStyle name="Percent 39" xfId="1721"/>
    <cellStyle name="Percent 4" xfId="1722"/>
    <cellStyle name="Percent 4 2" xfId="1723"/>
    <cellStyle name="Percent 40" xfId="1724"/>
    <cellStyle name="Percent 41" xfId="1725"/>
    <cellStyle name="Percent 42" xfId="1726"/>
    <cellStyle name="Percent 43" xfId="1727"/>
    <cellStyle name="Percent 44" xfId="1728"/>
    <cellStyle name="Percent 45" xfId="1729"/>
    <cellStyle name="Percent 46" xfId="1730"/>
    <cellStyle name="Percent 47" xfId="1731"/>
    <cellStyle name="Percent 48" xfId="1732"/>
    <cellStyle name="Percent 49" xfId="1733"/>
    <cellStyle name="Percent 5" xfId="1734"/>
    <cellStyle name="Percent 5 2" xfId="1735"/>
    <cellStyle name="Percent 50" xfId="1736"/>
    <cellStyle name="Percent 51" xfId="1737"/>
    <cellStyle name="Percent 52" xfId="1738"/>
    <cellStyle name="Percent 53" xfId="1739"/>
    <cellStyle name="Percent 54" xfId="1740"/>
    <cellStyle name="Percent 55" xfId="1741"/>
    <cellStyle name="Percent 56" xfId="1742"/>
    <cellStyle name="Percent 57" xfId="1743"/>
    <cellStyle name="Percent 58" xfId="1744"/>
    <cellStyle name="Percent 59" xfId="1745"/>
    <cellStyle name="Percent 6" xfId="1746"/>
    <cellStyle name="Percent 6 2" xfId="1747"/>
    <cellStyle name="Percent 60" xfId="1748"/>
    <cellStyle name="Percent 61" xfId="1749"/>
    <cellStyle name="Percent 62" xfId="1750"/>
    <cellStyle name="Percent 63" xfId="1751"/>
    <cellStyle name="Percent 64" xfId="1752"/>
    <cellStyle name="Percent 65" xfId="1753"/>
    <cellStyle name="Percent 66" xfId="1754"/>
    <cellStyle name="Percent 67" xfId="1755"/>
    <cellStyle name="Percent 68" xfId="1756"/>
    <cellStyle name="Percent 69" xfId="1757"/>
    <cellStyle name="Percent 7" xfId="1758"/>
    <cellStyle name="Percent 7 2" xfId="1759"/>
    <cellStyle name="Percent 70" xfId="1760"/>
    <cellStyle name="Percent 71" xfId="1761"/>
    <cellStyle name="Percent 72" xfId="1762"/>
    <cellStyle name="Percent 73" xfId="1763"/>
    <cellStyle name="Percent 74" xfId="1764"/>
    <cellStyle name="Percent 75" xfId="1765"/>
    <cellStyle name="Percent 76" xfId="1766"/>
    <cellStyle name="Percent 77" xfId="1767"/>
    <cellStyle name="Percent 78" xfId="1768"/>
    <cellStyle name="Percent 79" xfId="1769"/>
    <cellStyle name="Percent 8" xfId="1770"/>
    <cellStyle name="Percent 8 2" xfId="1771"/>
    <cellStyle name="Percent 80" xfId="1772"/>
    <cellStyle name="Percent 81" xfId="1773"/>
    <cellStyle name="Percent 82" xfId="1774"/>
    <cellStyle name="Percent 83" xfId="1775"/>
    <cellStyle name="Percent 84" xfId="1776"/>
    <cellStyle name="Percent 85" xfId="1777"/>
    <cellStyle name="Percent 86" xfId="1778"/>
    <cellStyle name="Percent 87" xfId="1779"/>
    <cellStyle name="Percent 88" xfId="1780"/>
    <cellStyle name="Percent 89" xfId="1781"/>
    <cellStyle name="Percent 9" xfId="1782"/>
    <cellStyle name="Percent 9 2" xfId="1783"/>
    <cellStyle name="Percent 90" xfId="1784"/>
    <cellStyle name="Percent 91" xfId="1785"/>
    <cellStyle name="Percent 92" xfId="1786"/>
    <cellStyle name="Percent 93" xfId="1787"/>
    <cellStyle name="Percent 94" xfId="1788"/>
    <cellStyle name="Percent 95" xfId="1789"/>
    <cellStyle name="Percent 96" xfId="1790"/>
    <cellStyle name="Percent 97" xfId="1791"/>
    <cellStyle name="Percent 98" xfId="1792"/>
    <cellStyle name="Percent 99" xfId="1793"/>
    <cellStyle name="Percent Hard" xfId="1794"/>
    <cellStyle name="Percent(4places)TotTop" xfId="1795"/>
    <cellStyle name="Percent[0]" xfId="1796"/>
    <cellStyle name="Percent[2]" xfId="1797"/>
    <cellStyle name="PercentTotal" xfId="1798"/>
    <cellStyle name="price" xfId="1799"/>
    <cellStyle name="PSChar" xfId="1800"/>
    <cellStyle name="PSChar 2" xfId="1801"/>
    <cellStyle name="PSDate" xfId="1802"/>
    <cellStyle name="PSDate 2" xfId="1803"/>
    <cellStyle name="PSDec" xfId="1804"/>
    <cellStyle name="PSDec 2" xfId="1805"/>
    <cellStyle name="PSHeading" xfId="1806"/>
    <cellStyle name="PSInt" xfId="1807"/>
    <cellStyle name="PSInt 2" xfId="1808"/>
    <cellStyle name="PSSpacer" xfId="1809"/>
    <cellStyle name="PSSpacer 2" xfId="1810"/>
    <cellStyle name="Reg1" xfId="1811"/>
    <cellStyle name="Reg2" xfId="1812"/>
    <cellStyle name="Reg3" xfId="1813"/>
    <cellStyle name="Reg4" xfId="1814"/>
    <cellStyle name="Reg5" xfId="1815"/>
    <cellStyle name="Reg6" xfId="1816"/>
    <cellStyle name="Reg7" xfId="1817"/>
    <cellStyle name="Reg8" xfId="1818"/>
    <cellStyle name="Reg9" xfId="1819"/>
    <cellStyle name="revised" xfId="1820"/>
    <cellStyle name="RevList" xfId="1821"/>
    <cellStyle name="section" xfId="1822"/>
    <cellStyle name="Shaded" xfId="1823"/>
    <cellStyle name="SpecialHeader" xfId="1824"/>
    <cellStyle name="Standard_NibanWB" xfId="1825"/>
    <cellStyle name="Style 1" xfId="1826"/>
    <cellStyle name="Style 2" xfId="1827"/>
    <cellStyle name="subhead" xfId="1828"/>
    <cellStyle name="SubHeader" xfId="1829"/>
    <cellStyle name="SubTotal" xfId="1830"/>
    <cellStyle name="Subtotal 2" xfId="1831"/>
    <cellStyle name="T" xfId="1832"/>
    <cellStyle name="t_Residential Bulk Strat_08.16.2005" xfId="1833"/>
    <cellStyle name="Table Col Head" xfId="1834"/>
    <cellStyle name="Table Sub Head" xfId="1835"/>
    <cellStyle name="Table Title" xfId="1836"/>
    <cellStyle name="Table Units" xfId="1837"/>
    <cellStyle name="TC_Comment" xfId="1838"/>
    <cellStyle name="Text [Bullet]" xfId="1839"/>
    <cellStyle name="Text [Dash]" xfId="1840"/>
    <cellStyle name="Text [Em-Dash]" xfId="1841"/>
    <cellStyle name="TIME" xfId="1842"/>
    <cellStyle name="Times" xfId="1843"/>
    <cellStyle name="Times [1]" xfId="1844"/>
    <cellStyle name="Times [2]" xfId="1845"/>
    <cellStyle name="Times New Roman" xfId="1846"/>
    <cellStyle name="Title" xfId="1847"/>
    <cellStyle name="Title 2" xfId="1848"/>
    <cellStyle name="Title 3" xfId="1849"/>
    <cellStyle name="title 4" xfId="1850"/>
    <cellStyle name="Title 5" xfId="1851"/>
    <cellStyle name="Title1" xfId="1852"/>
    <cellStyle name="TitleOther" xfId="1853"/>
    <cellStyle name="TopThick" xfId="1854"/>
    <cellStyle name="Total" xfId="1855"/>
    <cellStyle name="Total 2" xfId="1856"/>
    <cellStyle name="Total 3" xfId="1857"/>
    <cellStyle name="Total 4" xfId="1858"/>
    <cellStyle name="Total1" xfId="1859"/>
    <cellStyle name="Total2" xfId="1860"/>
    <cellStyle name="Total3" xfId="1861"/>
    <cellStyle name="Total4" xfId="1862"/>
    <cellStyle name="Total5" xfId="1863"/>
    <cellStyle name="Total6" xfId="1864"/>
    <cellStyle name="Total7" xfId="1865"/>
    <cellStyle name="Total8" xfId="1866"/>
    <cellStyle name="Total9" xfId="1867"/>
    <cellStyle name="Totals" xfId="1868"/>
    <cellStyle name="TotalsComma" xfId="1869"/>
    <cellStyle name="TotShade" xfId="1870"/>
    <cellStyle name="UB1" xfId="1871"/>
    <cellStyle name="UB2" xfId="1872"/>
    <cellStyle name="Underscore" xfId="1873"/>
    <cellStyle name="w12" xfId="1874"/>
    <cellStyle name="Warning Text" xfId="1875"/>
    <cellStyle name="Warning Text 2" xfId="1876"/>
    <cellStyle name="Warning Text 3" xfId="1877"/>
    <cellStyle name="Warning Text 4" xfId="1878"/>
    <cellStyle name="Year" xfId="1879"/>
    <cellStyle name="Year 2" xfId="1880"/>
    <cellStyle name="ZERO" xfId="1881"/>
    <cellStyle name="アクセント 1" xfId="1882"/>
    <cellStyle name="アクセント 2" xfId="1883"/>
    <cellStyle name="アクセント 3" xfId="1884"/>
    <cellStyle name="アクセント 4" xfId="1885"/>
    <cellStyle name="アクセント 5" xfId="1886"/>
    <cellStyle name="アクセント 6" xfId="1887"/>
    <cellStyle name="スタイル 1" xfId="1888"/>
    <cellStyle name="スタイル 1 2" xfId="1889"/>
    <cellStyle name="スタイル 2" xfId="1890"/>
    <cellStyle name="タイトル" xfId="1891"/>
    <cellStyle name="チェック セル" xfId="1892"/>
    <cellStyle name="どちらでもない" xfId="1893"/>
    <cellStyle name="パーセント 2" xfId="1894"/>
    <cellStyle name="パーセント 2 2" xfId="1895"/>
    <cellStyle name="パーセント()" xfId="1896"/>
    <cellStyle name="パーセント(0.00)" xfId="1897"/>
    <cellStyle name="パーセント[0.00]" xfId="1898"/>
    <cellStyle name="パーセント[0.00] 2" xfId="1899"/>
    <cellStyle name="パーセント[0.00] 3" xfId="1900"/>
    <cellStyle name="パターンＢ" xfId="1901"/>
    <cellStyle name="ﾌｫﾝﾄだけ" xfId="1902"/>
    <cellStyle name="メモ" xfId="1903"/>
    <cellStyle name="リンク セル" xfId="1904"/>
    <cellStyle name="지정되지 않음" xfId="1905"/>
    <cellStyle name="표준_Floor Area - Asiana -000419" xfId="1906"/>
    <cellStyle name="一般_Analysis 180903" xfId="1907"/>
    <cellStyle name="一覧標準" xfId="1908"/>
    <cellStyle name="上詰め" xfId="1909"/>
    <cellStyle name="下点線" xfId="1910"/>
    <cellStyle name="入力" xfId="1911"/>
    <cellStyle name="出力" xfId="1912"/>
    <cellStyle name="出金" xfId="1913"/>
    <cellStyle name="千分位_Letup Schedule" xfId="1914"/>
    <cellStyle name="在庫" xfId="1915"/>
    <cellStyle name="型番" xfId="1916"/>
    <cellStyle name="常规_09GL(9.30)" xfId="1917"/>
    <cellStyle name="悪い" xfId="1918"/>
    <cellStyle name="折り返し" xfId="1919"/>
    <cellStyle name="未定義" xfId="1920"/>
    <cellStyle name="桁区切り [0.0]" xfId="1921"/>
    <cellStyle name="桁区切り [0.00] 2" xfId="1922"/>
    <cellStyle name="桁区切り [0.00]_☆TMK目黒Variance Report" xfId="1923"/>
    <cellStyle name="桁区切り 2" xfId="1924"/>
    <cellStyle name="桁区切り_☆TMK目黒Variance Report" xfId="1925"/>
    <cellStyle name="標準 2" xfId="1926"/>
    <cellStyle name="標準 2 2" xfId="1927"/>
    <cellStyle name="標準[桁区切り無し]" xfId="1928"/>
    <cellStyle name="標準_【ＬＩＴＴＬＥ 大手前】ＭＯＮＴＨＬＹ ＲＥＰＯＲＴ（０６.０１）" xfId="1929"/>
    <cellStyle name="標準2" xfId="1930"/>
    <cellStyle name="標準３" xfId="1931"/>
    <cellStyle name="標準フォント" xfId="1932"/>
    <cellStyle name="禃宁垃㌠" xfId="1933"/>
    <cellStyle name="脱浦 [0.00]_?f?o疫善?ELp" xfId="1934"/>
    <cellStyle name="脱浦_?f?o疫善?ESO" xfId="1935"/>
    <cellStyle name="良い" xfId="1936"/>
    <cellStyle name="表旨巧・・ハイパーリンク" xfId="1937"/>
    <cellStyle name="見出し 1" xfId="1938"/>
    <cellStyle name="見出し 2" xfId="1939"/>
    <cellStyle name="見出し 3" xfId="1940"/>
    <cellStyle name="見出し 4" xfId="1941"/>
    <cellStyle name="見出し１" xfId="1942"/>
    <cellStyle name="計算" xfId="1943"/>
    <cellStyle name="説明文" xfId="1944"/>
    <cellStyle name="警告文" xfId="1945"/>
    <cellStyle name="貨幣_IRR 230803" xfId="1946"/>
    <cellStyle name="通貨 [0.00]_12目黒修繕" xfId="1947"/>
    <cellStyle name="通貨[$]" xfId="1948"/>
    <cellStyle name="通貨_Monthly-Sample#20" xfId="1949"/>
    <cellStyle name="隨後的超連結_CSMV_Mthly_ Sept 03" xfId="1950"/>
    <cellStyle name="集計" xfId="1951"/>
    <cellStyle name="靕ﾆﾞ・" xfId="1952"/>
    <cellStyle name="㼿" xfId="1953"/>
    <cellStyle name="㼿?" xfId="1954"/>
    <cellStyle name="㼿? 2" xfId="1955"/>
    <cellStyle name="㼿_レポート差替えシート" xfId="1956"/>
    <cellStyle name="㼿㼿" xfId="1957"/>
    <cellStyle name="㼿㼿 2" xfId="1958"/>
    <cellStyle name="㼿㼿?" xfId="1959"/>
    <cellStyle name="㼿㼿? 2" xfId="1960"/>
    <cellStyle name="㼿㼿_レポート差替えシート" xfId="1961"/>
    <cellStyle name="㼿㼿㼿" xfId="1962"/>
    <cellStyle name="㼿㼿㼿 2" xfId="1963"/>
    <cellStyle name="㼿㼿㼿?" xfId="1964"/>
    <cellStyle name="㼿㼿㼿? 2" xfId="1965"/>
    <cellStyle name="㼿㼿㼿_レポート差替えシート" xfId="1966"/>
    <cellStyle name="㼿㼿㼿㼿" xfId="1967"/>
    <cellStyle name="㼿㼿㼿㼿?" xfId="1968"/>
    <cellStyle name="㼿㼿㼿㼿㼿" xfId="1969"/>
    <cellStyle name="㼿㼿㼿㼿㼿 2" xfId="1970"/>
    <cellStyle name="㼿㼿㼿㼿㼿㼿" xfId="1971"/>
    <cellStyle name="㼿㼿㼿㼿㼿㼿?" xfId="1972"/>
    <cellStyle name="㼿㼿㼿㼿㼿㼿? 2" xfId="1973"/>
    <cellStyle name="㼿㼿㼿㼿㼿㼿㼿" xfId="1974"/>
    <cellStyle name="㼿㼿㼿㼿㼿㼿㼿㼿?" xfId="1975"/>
    <cellStyle name="㼿㼿㼿㼿㼿㼿㼿㼿㼿㼿" xfId="1976"/>
    <cellStyle name="㼿㼿㼿㼿㼿㼿㼿㼿㼿㼿㼿" xfId="1977"/>
    <cellStyle name="㼿㼿㼿㼿㼿㼿㼿㼿㼿㼿㼿?" xfId="1978"/>
    <cellStyle name="㼿㼿㼿㼿㼿㼿㼿㼿㼿㼿㼿? 2" xfId="1979"/>
    <cellStyle name="㼿㼿㼿㼿㼿㼿㼿㼿㼿㼿㼿?_レポート差替えシート" xfId="1980"/>
    <cellStyle name="㼿㼿㼿㼿㼿㼿㼿㼿㼿㼿㼿㼿㼿" xfId="1981"/>
    <cellStyle name="㼿㼿㼿㼿㼿㼿㼿㼿㼿㼿㼿㼿㼿 2" xfId="1982"/>
    <cellStyle name="㼿㼿㼿㼿㼿㼿㼿㼿㼿㼿㼿㼿㼿?" xfId="1983"/>
    <cellStyle name="㼿㼿㼿㼿㼿㼿㼿㼿㼿㼿㼿㼿㼿㼿" xfId="1984"/>
    <cellStyle name="㼿㼿㼿㼿㼿㼿㼿㼿㼿㼿㼿㼿㼿㼿 2" xfId="1985"/>
    <cellStyle name="㼿㼿㼿㼿㼿㼿㼿㼿㼿㼿㼿㼿㼿㼿?" xfId="1986"/>
    <cellStyle name="㼿㼿㼿㼿㼿㼿㼿㼿㼿㼿㼿㼿㼿㼿? 2" xfId="1987"/>
    <cellStyle name="㼿㼿㼿㼿㼿㼿㼿㼿㼿㼿㼿㼿㼿㼿㼿㼿㼿" xfId="1988"/>
    <cellStyle name="㼿㼿㼿㼿㼿㼿㼿㼿㼿㼿㼿㼿㼿㼿㼿㼿㼿㼿㼿㼿" xfId="19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K45"/>
  <sheetViews>
    <sheetView tabSelected="1" view="pageBreakPreview" zoomScale="94" zoomScaleSheetLayoutView="94" zoomScalePageLayoutView="0" workbookViewId="0" topLeftCell="A7">
      <selection activeCell="B23" sqref="B23"/>
    </sheetView>
  </sheetViews>
  <sheetFormatPr defaultColWidth="9.140625" defaultRowHeight="12.75"/>
  <cols>
    <col min="1" max="1" width="3.140625" style="11" customWidth="1"/>
    <col min="2" max="2" width="50.8515625" style="11" customWidth="1"/>
    <col min="3" max="3" width="14.421875" style="97" bestFit="1" customWidth="1"/>
    <col min="4" max="5" width="23.7109375" style="97" customWidth="1"/>
    <col min="6" max="6" width="15.7109375" style="11" customWidth="1"/>
    <col min="7" max="8" width="8.8515625" style="11" customWidth="1"/>
    <col min="9" max="9" width="10.28125" style="11" bestFit="1" customWidth="1"/>
    <col min="10" max="16384" width="8.8515625" style="11" customWidth="1"/>
  </cols>
  <sheetData>
    <row r="1" spans="1:5" s="24" customFormat="1" ht="16.5">
      <c r="A1" s="22" t="s">
        <v>26</v>
      </c>
      <c r="C1" s="23"/>
      <c r="D1" s="23"/>
      <c r="E1" s="20"/>
    </row>
    <row r="2" spans="1:5" s="24" customFormat="1" ht="16.5">
      <c r="A2" s="22" t="s">
        <v>320</v>
      </c>
      <c r="C2" s="23"/>
      <c r="D2" s="23"/>
      <c r="E2" s="20"/>
    </row>
    <row r="3" spans="1:5" s="24" customFormat="1" ht="9" customHeight="1">
      <c r="A3" s="22"/>
      <c r="C3" s="23"/>
      <c r="D3" s="23"/>
      <c r="E3" s="23"/>
    </row>
    <row r="4" spans="1:5" ht="12.75">
      <c r="A4" s="21" t="s">
        <v>8</v>
      </c>
      <c r="B4" s="10"/>
      <c r="C4" s="169"/>
      <c r="D4" s="169"/>
      <c r="E4" s="169"/>
    </row>
    <row r="5" ht="8.25" customHeight="1"/>
    <row r="6" spans="3:5" s="9" customFormat="1" ht="12.75">
      <c r="C6" s="146"/>
      <c r="D6" s="170" t="s">
        <v>30</v>
      </c>
      <c r="E6" s="170" t="s">
        <v>30</v>
      </c>
    </row>
    <row r="7" spans="1:6" s="9" customFormat="1" ht="12.75">
      <c r="A7" s="143"/>
      <c r="C7" s="170" t="s">
        <v>60</v>
      </c>
      <c r="D7" s="170" t="s">
        <v>321</v>
      </c>
      <c r="E7" s="170" t="s">
        <v>277</v>
      </c>
      <c r="F7" s="143" t="s">
        <v>41</v>
      </c>
    </row>
    <row r="8" spans="1:11" s="96" customFormat="1" ht="16.5" customHeight="1">
      <c r="A8" s="96" t="s">
        <v>246</v>
      </c>
      <c r="C8" s="241">
        <v>306768</v>
      </c>
      <c r="D8" s="98">
        <v>601.2</v>
      </c>
      <c r="E8" s="98">
        <v>582.4</v>
      </c>
      <c r="F8" s="107">
        <v>38806</v>
      </c>
      <c r="G8" s="118"/>
      <c r="H8" s="101"/>
      <c r="I8" s="110"/>
      <c r="J8" s="110"/>
      <c r="K8" s="111"/>
    </row>
    <row r="9" spans="1:11" s="96" customFormat="1" ht="16.5" customHeight="1">
      <c r="A9" s="96" t="s">
        <v>28</v>
      </c>
      <c r="C9" s="241">
        <v>1033271</v>
      </c>
      <c r="D9" s="98">
        <v>558.5</v>
      </c>
      <c r="E9" s="98">
        <v>558</v>
      </c>
      <c r="F9" s="107">
        <v>40051</v>
      </c>
      <c r="G9" s="117"/>
      <c r="H9" s="101"/>
      <c r="I9" s="110"/>
      <c r="J9" s="110"/>
      <c r="K9" s="111"/>
    </row>
    <row r="10" spans="1:11" s="96" customFormat="1" ht="16.5" customHeight="1">
      <c r="A10" s="96" t="s">
        <v>279</v>
      </c>
      <c r="C10" s="241">
        <f>355669*2</f>
        <v>711338</v>
      </c>
      <c r="D10" s="98">
        <v>285.9</v>
      </c>
      <c r="E10" s="98">
        <v>288.2</v>
      </c>
      <c r="F10" s="107">
        <v>38806</v>
      </c>
      <c r="G10" s="117"/>
      <c r="H10" s="101"/>
      <c r="I10" s="110"/>
      <c r="J10" s="110"/>
      <c r="K10" s="111"/>
    </row>
    <row r="11" spans="1:11" s="96" customFormat="1" ht="16.5" customHeight="1">
      <c r="A11" s="96" t="s">
        <v>153</v>
      </c>
      <c r="C11" s="241">
        <v>433182.3916</v>
      </c>
      <c r="D11" s="98">
        <v>237.6</v>
      </c>
      <c r="E11" s="98">
        <v>249.6</v>
      </c>
      <c r="F11" s="107">
        <v>39251</v>
      </c>
      <c r="G11" s="117"/>
      <c r="H11" s="101"/>
      <c r="I11" s="110"/>
      <c r="J11" s="110"/>
      <c r="K11" s="111"/>
    </row>
    <row r="12" spans="1:11" s="96" customFormat="1" ht="16.5" customHeight="1">
      <c r="A12" s="96" t="s">
        <v>176</v>
      </c>
      <c r="C12" s="241">
        <v>344240</v>
      </c>
      <c r="D12" s="98">
        <v>286.8</v>
      </c>
      <c r="E12" s="98">
        <v>299.1</v>
      </c>
      <c r="F12" s="107">
        <v>42217</v>
      </c>
      <c r="G12" s="117"/>
      <c r="H12" s="101"/>
      <c r="I12" s="110"/>
      <c r="J12" s="110"/>
      <c r="K12" s="111"/>
    </row>
    <row r="13" spans="1:11" s="96" customFormat="1" ht="16.5" customHeight="1">
      <c r="A13" s="96" t="s">
        <v>282</v>
      </c>
      <c r="C13" s="241">
        <f>273842*2</f>
        <v>547684</v>
      </c>
      <c r="D13" s="98">
        <v>150.8</v>
      </c>
      <c r="E13" s="98">
        <v>156.2</v>
      </c>
      <c r="F13" s="107">
        <v>43101</v>
      </c>
      <c r="G13" s="117"/>
      <c r="H13" s="101"/>
      <c r="I13" s="110"/>
      <c r="J13" s="110"/>
      <c r="K13" s="111"/>
    </row>
    <row r="14" spans="1:5" s="96" customFormat="1" ht="12.75">
      <c r="A14" s="99" t="s">
        <v>29</v>
      </c>
      <c r="C14" s="203">
        <f>SUM(C8:C13)</f>
        <v>3376483.3915999997</v>
      </c>
      <c r="D14" s="206">
        <f>SUM(D8:D13)</f>
        <v>2120.7999999999997</v>
      </c>
      <c r="E14" s="203">
        <f>SUM(E8:E13)</f>
        <v>2133.5</v>
      </c>
    </row>
    <row r="15" spans="2:3" s="96" customFormat="1" ht="12.75">
      <c r="B15"/>
      <c r="C15" s="97"/>
    </row>
    <row r="16" spans="3:8" ht="12.75">
      <c r="C16" s="96"/>
      <c r="D16" s="101"/>
      <c r="E16" s="101"/>
      <c r="H16" s="106"/>
    </row>
    <row r="17" spans="3:5" ht="10.5" customHeight="1">
      <c r="C17" s="96"/>
      <c r="D17" s="96"/>
      <c r="E17" s="96"/>
    </row>
    <row r="18" spans="1:5" ht="12.75">
      <c r="A18" s="21" t="s">
        <v>140</v>
      </c>
      <c r="B18" s="10"/>
      <c r="C18" s="169"/>
      <c r="D18" s="169"/>
      <c r="E18" s="169"/>
    </row>
    <row r="19" spans="1:5" s="24" customFormat="1" ht="11.25" customHeight="1">
      <c r="A19" s="22"/>
      <c r="C19" s="23"/>
      <c r="D19" s="23"/>
      <c r="E19" s="20"/>
    </row>
    <row r="20" spans="1:5" ht="12.75">
      <c r="A20" s="8" t="s">
        <v>7</v>
      </c>
      <c r="C20" s="171" t="s">
        <v>3</v>
      </c>
      <c r="D20" s="171" t="s">
        <v>6</v>
      </c>
      <c r="E20" s="171"/>
    </row>
    <row r="21" s="96" customFormat="1" ht="12.75">
      <c r="E21" s="100"/>
    </row>
    <row r="22" spans="1:5" s="96" customFormat="1" ht="13.5">
      <c r="A22" s="236" t="s">
        <v>329</v>
      </c>
      <c r="C22" s="144">
        <v>2.4</v>
      </c>
      <c r="D22" s="145">
        <v>43647</v>
      </c>
      <c r="E22" s="100"/>
    </row>
    <row r="23" spans="1:5" s="96" customFormat="1" ht="12.75">
      <c r="A23" s="250" t="s">
        <v>330</v>
      </c>
      <c r="C23" s="144">
        <v>3.3</v>
      </c>
      <c r="D23" s="145">
        <v>43678</v>
      </c>
      <c r="E23" s="100"/>
    </row>
    <row r="24" spans="1:5" s="96" customFormat="1" ht="12.75">
      <c r="A24" s="96" t="s">
        <v>177</v>
      </c>
      <c r="C24" s="144">
        <v>60</v>
      </c>
      <c r="D24" s="145">
        <v>44044</v>
      </c>
      <c r="E24" s="100"/>
    </row>
    <row r="25" spans="1:5" s="96" customFormat="1" ht="12.75">
      <c r="A25" s="96" t="s">
        <v>199</v>
      </c>
      <c r="C25" s="144" t="s">
        <v>195</v>
      </c>
      <c r="D25" s="145">
        <v>43862</v>
      </c>
      <c r="E25" s="100"/>
    </row>
    <row r="26" spans="1:5" s="96" customFormat="1" ht="12.75">
      <c r="A26" s="96" t="s">
        <v>198</v>
      </c>
      <c r="C26" s="144" t="s">
        <v>195</v>
      </c>
      <c r="D26" s="145">
        <v>44409</v>
      </c>
      <c r="E26" s="100"/>
    </row>
    <row r="27" spans="1:5" s="96" customFormat="1" ht="12.75">
      <c r="A27" s="96" t="s">
        <v>200</v>
      </c>
      <c r="C27" s="144" t="s">
        <v>197</v>
      </c>
      <c r="D27" s="145">
        <v>44256</v>
      </c>
      <c r="E27" s="100"/>
    </row>
    <row r="28" spans="1:5" s="96" customFormat="1" ht="12.75">
      <c r="A28" s="96" t="s">
        <v>218</v>
      </c>
      <c r="C28" s="144" t="s">
        <v>219</v>
      </c>
      <c r="D28" s="145">
        <v>44682</v>
      </c>
      <c r="E28" s="100"/>
    </row>
    <row r="29" spans="1:5" s="96" customFormat="1" ht="12.75">
      <c r="A29" s="96" t="s">
        <v>166</v>
      </c>
      <c r="C29" s="144">
        <v>128.5</v>
      </c>
      <c r="D29" s="145">
        <v>44713</v>
      </c>
      <c r="E29" s="100"/>
    </row>
    <row r="30" spans="1:5" s="96" customFormat="1" ht="12.75">
      <c r="A30" s="96" t="s">
        <v>264</v>
      </c>
      <c r="C30" s="144" t="s">
        <v>248</v>
      </c>
      <c r="D30" s="145">
        <v>44958</v>
      </c>
      <c r="E30" s="100"/>
    </row>
    <row r="31" spans="1:5" s="96" customFormat="1" ht="12.75">
      <c r="A31" s="96" t="s">
        <v>312</v>
      </c>
      <c r="C31" s="144" t="s">
        <v>197</v>
      </c>
      <c r="D31" s="145">
        <v>45323</v>
      </c>
      <c r="E31" s="100"/>
    </row>
    <row r="32" spans="1:5" s="96" customFormat="1" ht="15">
      <c r="A32" s="96" t="s">
        <v>283</v>
      </c>
      <c r="C32" s="260">
        <v>0.0296</v>
      </c>
      <c r="D32" s="146"/>
      <c r="E32" s="97"/>
    </row>
    <row r="33" spans="3:5" s="96" customFormat="1" ht="9" customHeight="1">
      <c r="C33" s="101"/>
      <c r="D33" s="101"/>
      <c r="E33" s="101"/>
    </row>
    <row r="34" spans="1:5" s="96" customFormat="1" ht="15">
      <c r="A34" s="99" t="s">
        <v>284</v>
      </c>
      <c r="C34" s="97"/>
      <c r="D34" s="101"/>
      <c r="E34" s="101"/>
    </row>
    <row r="35" spans="1:5" s="96" customFormat="1" ht="15">
      <c r="A35" s="96" t="s">
        <v>77</v>
      </c>
      <c r="C35" s="147" t="s">
        <v>322</v>
      </c>
      <c r="D35" s="233" t="s">
        <v>304</v>
      </c>
      <c r="E35" s="97"/>
    </row>
    <row r="36" spans="1:5" s="96" customFormat="1" ht="12.75">
      <c r="A36" s="96" t="s">
        <v>76</v>
      </c>
      <c r="C36" s="103">
        <v>0.293</v>
      </c>
      <c r="D36" s="101"/>
      <c r="E36" s="101"/>
    </row>
    <row r="37" spans="3:5" s="96" customFormat="1" ht="12.75">
      <c r="C37" s="102"/>
      <c r="D37" s="101"/>
      <c r="E37" s="101"/>
    </row>
    <row r="38" spans="1:3" ht="12.75">
      <c r="A38" s="38" t="s">
        <v>89</v>
      </c>
      <c r="C38" s="114"/>
    </row>
    <row r="39" spans="1:3" ht="12.75">
      <c r="A39" s="37">
        <v>1</v>
      </c>
      <c r="B39" s="36" t="s">
        <v>247</v>
      </c>
      <c r="C39" s="114"/>
    </row>
    <row r="40" spans="1:2" ht="12.75">
      <c r="A40" s="39">
        <v>2</v>
      </c>
      <c r="B40" s="36" t="s">
        <v>280</v>
      </c>
    </row>
    <row r="41" spans="1:2" ht="12.75">
      <c r="A41" s="39"/>
      <c r="B41" s="36" t="s">
        <v>281</v>
      </c>
    </row>
    <row r="42" spans="1:6" ht="12.75">
      <c r="A42" s="39">
        <v>3</v>
      </c>
      <c r="B42" s="225" t="s">
        <v>323</v>
      </c>
      <c r="F42" s="96"/>
    </row>
    <row r="43" spans="1:2" ht="12.75">
      <c r="A43" s="39">
        <v>4</v>
      </c>
      <c r="B43" s="36" t="s">
        <v>19</v>
      </c>
    </row>
    <row r="45" ht="12.75">
      <c r="A45" s="54" t="s">
        <v>27</v>
      </c>
    </row>
  </sheetData>
  <sheetProtection/>
  <printOptions/>
  <pageMargins left="0.75" right="0.75" top="0.5" bottom="0.25" header="0.5" footer="0.5"/>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N90"/>
  <sheetViews>
    <sheetView view="pageBreakPreview" zoomScale="96" zoomScaleNormal="80" zoomScaleSheetLayoutView="96" zoomScalePageLayoutView="0" workbookViewId="0" topLeftCell="A63">
      <selection activeCell="F88" sqref="F88"/>
    </sheetView>
  </sheetViews>
  <sheetFormatPr defaultColWidth="10.7109375" defaultRowHeight="12.75"/>
  <cols>
    <col min="1" max="1" width="3.7109375" style="52" customWidth="1"/>
    <col min="2" max="2" width="37.00390625" style="52" customWidth="1"/>
    <col min="3" max="3" width="10.7109375" style="129" customWidth="1"/>
    <col min="4" max="4" width="11.421875" style="129" bestFit="1" customWidth="1"/>
    <col min="5" max="6" width="10.7109375" style="129" customWidth="1"/>
    <col min="7" max="7" width="10.7109375" style="18" customWidth="1"/>
    <col min="8" max="16384" width="10.7109375" style="52" customWidth="1"/>
  </cols>
  <sheetData>
    <row r="1" spans="1:7" s="174" customFormat="1" ht="16.5">
      <c r="A1" s="22" t="s">
        <v>26</v>
      </c>
      <c r="B1" s="52"/>
      <c r="C1" s="3"/>
      <c r="D1" s="3"/>
      <c r="E1" s="4"/>
      <c r="F1" s="4"/>
      <c r="G1" s="5"/>
    </row>
    <row r="2" spans="1:7" s="174" customFormat="1" ht="16.5">
      <c r="A2" s="1" t="str">
        <f>Portfolio!$A$2</f>
        <v>PORTFOLIO INFORMATION AS AT 30 JUNE 2019</v>
      </c>
      <c r="B2" s="52"/>
      <c r="C2" s="3"/>
      <c r="D2" s="3"/>
      <c r="E2" s="4"/>
      <c r="F2" s="4"/>
      <c r="G2" s="5"/>
    </row>
    <row r="3" spans="3:7" s="19" customFormat="1" ht="12.75">
      <c r="C3" s="18"/>
      <c r="D3" s="18"/>
      <c r="E3" s="18"/>
      <c r="F3" s="18"/>
      <c r="G3" s="18"/>
    </row>
    <row r="4" spans="1:7" s="19" customFormat="1" ht="12.75">
      <c r="A4" s="99" t="s">
        <v>83</v>
      </c>
      <c r="C4" s="128"/>
      <c r="D4" s="128"/>
      <c r="E4" s="18"/>
      <c r="F4" s="18"/>
      <c r="G4" s="18"/>
    </row>
    <row r="5" spans="1:8" s="19" customFormat="1" ht="12.75">
      <c r="A5" s="199" t="s">
        <v>84</v>
      </c>
      <c r="B5" s="55"/>
      <c r="C5" s="191" t="s">
        <v>85</v>
      </c>
      <c r="D5" s="190" t="s">
        <v>86</v>
      </c>
      <c r="E5" s="18"/>
      <c r="F5" s="18"/>
      <c r="G5" s="18"/>
      <c r="H5" s="103"/>
    </row>
    <row r="6" spans="1:8" s="19" customFormat="1" ht="12.75">
      <c r="A6" s="237" t="s">
        <v>47</v>
      </c>
      <c r="B6" s="89"/>
      <c r="C6" s="207">
        <v>0.203</v>
      </c>
      <c r="D6" s="207">
        <v>0.166</v>
      </c>
      <c r="E6" s="242"/>
      <c r="F6" s="208"/>
      <c r="G6" s="209"/>
      <c r="H6" s="103"/>
    </row>
    <row r="7" spans="1:8" s="19" customFormat="1" ht="12.75">
      <c r="A7" s="238" t="s">
        <v>46</v>
      </c>
      <c r="B7" s="55"/>
      <c r="C7" s="207">
        <v>0.134</v>
      </c>
      <c r="D7" s="207">
        <v>0.149</v>
      </c>
      <c r="E7" s="240"/>
      <c r="F7" s="208"/>
      <c r="G7" s="209"/>
      <c r="H7" s="103"/>
    </row>
    <row r="8" spans="1:8" s="19" customFormat="1" ht="12.75">
      <c r="A8" s="238" t="s">
        <v>48</v>
      </c>
      <c r="B8" s="55"/>
      <c r="C8" s="207">
        <v>0.09</v>
      </c>
      <c r="D8" s="207">
        <v>0.109</v>
      </c>
      <c r="E8" s="240"/>
      <c r="F8" s="208"/>
      <c r="G8" s="209"/>
      <c r="H8" s="103"/>
    </row>
    <row r="9" spans="1:8" s="19" customFormat="1" ht="12.75">
      <c r="A9" s="238" t="s">
        <v>54</v>
      </c>
      <c r="B9" s="55"/>
      <c r="C9" s="207">
        <v>0.089</v>
      </c>
      <c r="D9" s="207">
        <v>0.107</v>
      </c>
      <c r="E9" s="240"/>
      <c r="F9" s="208"/>
      <c r="G9" s="209"/>
      <c r="H9" s="103"/>
    </row>
    <row r="10" spans="1:8" s="19" customFormat="1" ht="12.75">
      <c r="A10" s="238" t="s">
        <v>45</v>
      </c>
      <c r="B10" s="55"/>
      <c r="C10" s="207">
        <v>0.091</v>
      </c>
      <c r="D10" s="207">
        <v>0.089</v>
      </c>
      <c r="E10" s="240"/>
      <c r="F10" s="208"/>
      <c r="G10" s="209"/>
      <c r="H10" s="103"/>
    </row>
    <row r="11" spans="1:8" s="19" customFormat="1" ht="12.75">
      <c r="A11" s="238" t="s">
        <v>49</v>
      </c>
      <c r="B11" s="55"/>
      <c r="C11" s="207">
        <v>0.079</v>
      </c>
      <c r="D11" s="207">
        <v>0.071</v>
      </c>
      <c r="E11" s="240"/>
      <c r="F11" s="208"/>
      <c r="G11" s="209"/>
      <c r="H11" s="103"/>
    </row>
    <row r="12" spans="1:8" s="19" customFormat="1" ht="12.75">
      <c r="A12" s="238" t="s">
        <v>53</v>
      </c>
      <c r="B12" s="55"/>
      <c r="C12" s="207">
        <v>0.042</v>
      </c>
      <c r="D12" s="207">
        <v>0.064</v>
      </c>
      <c r="E12" s="240"/>
      <c r="F12" s="208"/>
      <c r="G12" s="209"/>
      <c r="H12" s="103"/>
    </row>
    <row r="13" spans="1:8" s="19" customFormat="1" ht="12.75">
      <c r="A13" s="238" t="s">
        <v>55</v>
      </c>
      <c r="B13" s="55"/>
      <c r="C13" s="207">
        <v>0.056</v>
      </c>
      <c r="D13" s="207">
        <v>0.05</v>
      </c>
      <c r="E13" s="240"/>
      <c r="F13" s="208"/>
      <c r="G13" s="209"/>
      <c r="H13" s="103"/>
    </row>
    <row r="14" spans="1:8" s="19" customFormat="1" ht="12.75">
      <c r="A14" s="238" t="s">
        <v>58</v>
      </c>
      <c r="B14" s="55"/>
      <c r="C14" s="207">
        <v>0.055</v>
      </c>
      <c r="D14" s="207">
        <v>0.047</v>
      </c>
      <c r="E14" s="240"/>
      <c r="F14" s="208"/>
      <c r="G14" s="209"/>
      <c r="H14" s="103"/>
    </row>
    <row r="15" spans="1:8" s="19" customFormat="1" ht="12.75">
      <c r="A15" s="238" t="s">
        <v>249</v>
      </c>
      <c r="B15" s="55"/>
      <c r="C15" s="207">
        <v>0.041</v>
      </c>
      <c r="D15" s="207">
        <v>0.034</v>
      </c>
      <c r="E15" s="240"/>
      <c r="F15" s="208"/>
      <c r="G15" s="209"/>
      <c r="H15" s="103"/>
    </row>
    <row r="16" spans="1:8" s="19" customFormat="1" ht="12.75">
      <c r="A16" s="238" t="s">
        <v>51</v>
      </c>
      <c r="B16" s="55"/>
      <c r="C16" s="207">
        <v>0.027330308003788294</v>
      </c>
      <c r="D16" s="207">
        <v>0.034</v>
      </c>
      <c r="E16" s="240"/>
      <c r="F16" s="208"/>
      <c r="G16" s="209"/>
      <c r="H16" s="103"/>
    </row>
    <row r="17" spans="1:8" s="19" customFormat="1" ht="12.75">
      <c r="A17" s="238" t="s">
        <v>50</v>
      </c>
      <c r="B17" s="55"/>
      <c r="C17" s="207">
        <v>0.018829476097269468</v>
      </c>
      <c r="D17" s="207">
        <v>0.027</v>
      </c>
      <c r="E17" s="240"/>
      <c r="F17" s="208"/>
      <c r="G17" s="209"/>
      <c r="H17" s="103"/>
    </row>
    <row r="18" spans="1:8" s="19" customFormat="1" ht="12.75">
      <c r="A18" s="238" t="s">
        <v>52</v>
      </c>
      <c r="B18" s="55"/>
      <c r="C18" s="207">
        <v>0.025</v>
      </c>
      <c r="D18" s="207">
        <v>0.02</v>
      </c>
      <c r="E18" s="240"/>
      <c r="F18" s="208"/>
      <c r="G18" s="209"/>
      <c r="H18" s="103"/>
    </row>
    <row r="19" spans="1:8" s="19" customFormat="1" ht="12.75">
      <c r="A19" s="238" t="s">
        <v>59</v>
      </c>
      <c r="B19" s="55"/>
      <c r="C19" s="207">
        <v>0.013</v>
      </c>
      <c r="D19" s="207">
        <v>0.012</v>
      </c>
      <c r="E19" s="240"/>
      <c r="F19" s="208"/>
      <c r="G19" s="209"/>
      <c r="H19" s="103"/>
    </row>
    <row r="20" spans="1:8" s="19" customFormat="1" ht="12.75">
      <c r="A20" s="238" t="s">
        <v>250</v>
      </c>
      <c r="B20" s="55"/>
      <c r="C20" s="207">
        <v>0.023</v>
      </c>
      <c r="D20" s="207">
        <v>0.011</v>
      </c>
      <c r="E20" s="240"/>
      <c r="F20" s="208"/>
      <c r="G20" s="209"/>
      <c r="H20" s="103"/>
    </row>
    <row r="21" spans="1:8" s="19" customFormat="1" ht="12.75">
      <c r="A21" s="238" t="s">
        <v>57</v>
      </c>
      <c r="B21" s="55"/>
      <c r="C21" s="207">
        <v>0.012</v>
      </c>
      <c r="D21" s="207">
        <v>0.011</v>
      </c>
      <c r="E21" s="240"/>
      <c r="F21" s="208"/>
      <c r="G21" s="209"/>
      <c r="H21" s="103"/>
    </row>
    <row r="22" spans="1:7" s="19" customFormat="1" ht="12.75">
      <c r="A22" s="238" t="s">
        <v>56</v>
      </c>
      <c r="B22" s="96"/>
      <c r="C22" s="207">
        <v>0.001394507622390177</v>
      </c>
      <c r="D22" s="207">
        <v>0.002</v>
      </c>
      <c r="E22" s="240"/>
      <c r="F22" s="211"/>
      <c r="G22" s="18"/>
    </row>
    <row r="23" spans="1:7" s="19" customFormat="1" ht="12.75">
      <c r="A23" s="80"/>
      <c r="B23" s="96"/>
      <c r="C23" s="207"/>
      <c r="D23" s="207"/>
      <c r="E23" s="211"/>
      <c r="F23" s="211"/>
      <c r="G23" s="18"/>
    </row>
    <row r="24" spans="1:7" s="19" customFormat="1" ht="12.75">
      <c r="A24" s="99" t="s">
        <v>87</v>
      </c>
      <c r="C24" s="212"/>
      <c r="D24" s="212"/>
      <c r="E24" s="210"/>
      <c r="F24" s="213"/>
      <c r="G24" s="128"/>
    </row>
    <row r="25" spans="1:7" s="19" customFormat="1" ht="26.25">
      <c r="A25" s="214" t="s">
        <v>5</v>
      </c>
      <c r="B25" s="215" t="s">
        <v>88</v>
      </c>
      <c r="C25" s="251" t="s">
        <v>0</v>
      </c>
      <c r="D25" s="251"/>
      <c r="E25" s="216"/>
      <c r="F25" s="55"/>
      <c r="G25" s="216"/>
    </row>
    <row r="26" spans="1:8" s="19" customFormat="1" ht="12.75">
      <c r="A26" s="217">
        <v>1</v>
      </c>
      <c r="B26" s="231" t="s">
        <v>251</v>
      </c>
      <c r="C26" s="210"/>
      <c r="D26" s="207">
        <v>0.166</v>
      </c>
      <c r="E26" s="208"/>
      <c r="F26" s="55"/>
      <c r="G26" s="218"/>
      <c r="H26" s="167"/>
    </row>
    <row r="27" spans="1:8" s="19" customFormat="1" ht="12.75">
      <c r="A27" s="210">
        <v>2</v>
      </c>
      <c r="B27" s="80" t="s">
        <v>306</v>
      </c>
      <c r="C27" s="210"/>
      <c r="D27" s="207">
        <v>0.08774325809063367</v>
      </c>
      <c r="E27" s="208"/>
      <c r="F27" s="55"/>
      <c r="G27" s="218"/>
      <c r="H27" s="167"/>
    </row>
    <row r="28" spans="1:8" s="19" customFormat="1" ht="12.75">
      <c r="A28" s="210">
        <v>3</v>
      </c>
      <c r="B28" s="80" t="s">
        <v>285</v>
      </c>
      <c r="C28" s="210"/>
      <c r="D28" s="207">
        <v>0.06882685507259463</v>
      </c>
      <c r="E28" s="103"/>
      <c r="G28" s="218"/>
      <c r="H28" s="167"/>
    </row>
    <row r="29" spans="1:8" s="19" customFormat="1" ht="12.75">
      <c r="A29" s="210">
        <v>4</v>
      </c>
      <c r="B29" s="80" t="s">
        <v>159</v>
      </c>
      <c r="C29" s="210"/>
      <c r="D29" s="207">
        <v>0.037</v>
      </c>
      <c r="E29" s="103"/>
      <c r="G29" s="218"/>
      <c r="H29" s="167"/>
    </row>
    <row r="30" spans="1:8" s="19" customFormat="1" ht="12.75">
      <c r="A30" s="210">
        <v>5</v>
      </c>
      <c r="B30" s="80" t="s">
        <v>301</v>
      </c>
      <c r="C30" s="210"/>
      <c r="D30" s="207">
        <v>0.035055141397713395</v>
      </c>
      <c r="E30" s="103"/>
      <c r="G30" s="218"/>
      <c r="H30" s="167"/>
    </row>
    <row r="31" spans="1:8" s="19" customFormat="1" ht="12.75">
      <c r="A31" s="210">
        <v>6</v>
      </c>
      <c r="B31" s="80" t="s">
        <v>167</v>
      </c>
      <c r="C31" s="210"/>
      <c r="D31" s="207">
        <v>0.03088121301241663</v>
      </c>
      <c r="E31" s="103"/>
      <c r="G31" s="218"/>
      <c r="H31" s="167"/>
    </row>
    <row r="32" spans="1:8" s="19" customFormat="1" ht="12.75">
      <c r="A32" s="210">
        <v>7</v>
      </c>
      <c r="B32" s="80" t="s">
        <v>252</v>
      </c>
      <c r="C32" s="210"/>
      <c r="D32" s="207">
        <v>0.029</v>
      </c>
      <c r="E32" s="103"/>
      <c r="G32" s="218"/>
      <c r="H32" s="167"/>
    </row>
    <row r="33" spans="1:8" s="19" customFormat="1" ht="12.75">
      <c r="A33" s="210">
        <v>8</v>
      </c>
      <c r="B33" s="80" t="s">
        <v>221</v>
      </c>
      <c r="D33" s="207">
        <v>0.023754691613988577</v>
      </c>
      <c r="E33" s="103"/>
      <c r="G33" s="218"/>
      <c r="H33" s="167"/>
    </row>
    <row r="34" spans="1:8" s="19" customFormat="1" ht="12.75">
      <c r="A34" s="210">
        <v>9</v>
      </c>
      <c r="B34" s="80" t="s">
        <v>302</v>
      </c>
      <c r="D34" s="207">
        <v>0.021131381855154948</v>
      </c>
      <c r="E34" s="103"/>
      <c r="G34" s="218"/>
      <c r="H34" s="167"/>
    </row>
    <row r="35" spans="1:8" s="19" customFormat="1" ht="12.75">
      <c r="A35" s="210">
        <v>10</v>
      </c>
      <c r="B35" s="19" t="s">
        <v>318</v>
      </c>
      <c r="C35" s="210"/>
      <c r="D35" s="207">
        <v>0.019067348623160316</v>
      </c>
      <c r="E35" s="103"/>
      <c r="G35" s="218"/>
      <c r="H35" s="167"/>
    </row>
    <row r="36" spans="1:7" s="19" customFormat="1" ht="12.75">
      <c r="A36" s="55"/>
      <c r="C36" s="211"/>
      <c r="D36" s="219"/>
      <c r="E36" s="167"/>
      <c r="F36" s="18"/>
      <c r="G36" s="18"/>
    </row>
    <row r="37" spans="1:7" s="19" customFormat="1" ht="15">
      <c r="A37" s="220" t="s">
        <v>191</v>
      </c>
      <c r="B37" s="221"/>
      <c r="C37" s="222" t="s">
        <v>178</v>
      </c>
      <c r="D37" s="222" t="s">
        <v>187</v>
      </c>
      <c r="E37" s="222" t="s">
        <v>225</v>
      </c>
      <c r="F37" s="222" t="s">
        <v>286</v>
      </c>
      <c r="G37" s="222" t="s">
        <v>287</v>
      </c>
    </row>
    <row r="38" spans="1:4" s="19" customFormat="1" ht="12.75">
      <c r="A38" s="223"/>
      <c r="C38" s="211"/>
      <c r="D38" s="211"/>
    </row>
    <row r="39" spans="1:4" s="19" customFormat="1" ht="12.75">
      <c r="A39" s="84" t="s">
        <v>179</v>
      </c>
      <c r="C39" s="18"/>
      <c r="D39" s="18"/>
    </row>
    <row r="40" spans="1:11" s="19" customFormat="1" ht="12.75">
      <c r="A40" s="19" t="s">
        <v>90</v>
      </c>
      <c r="C40" s="19">
        <v>15</v>
      </c>
      <c r="D40" s="19">
        <v>43</v>
      </c>
      <c r="E40" s="19">
        <v>49</v>
      </c>
      <c r="F40" s="19">
        <v>39</v>
      </c>
      <c r="G40" s="19">
        <v>93</v>
      </c>
      <c r="H40" s="18"/>
      <c r="I40" s="18"/>
      <c r="J40" s="18"/>
      <c r="K40" s="18"/>
    </row>
    <row r="41" spans="1:11" s="19" customFormat="1" ht="12.75">
      <c r="A41" s="19" t="s">
        <v>91</v>
      </c>
      <c r="C41" s="18">
        <v>39563</v>
      </c>
      <c r="D41" s="18">
        <v>364968</v>
      </c>
      <c r="E41" s="18">
        <v>273952</v>
      </c>
      <c r="F41" s="18">
        <v>186884</v>
      </c>
      <c r="G41" s="18">
        <v>1263525</v>
      </c>
      <c r="H41" s="18"/>
      <c r="I41" s="18"/>
      <c r="J41" s="18"/>
      <c r="K41" s="18"/>
    </row>
    <row r="42" spans="1:11" s="19" customFormat="1" ht="12.75">
      <c r="A42" s="19" t="s">
        <v>92</v>
      </c>
      <c r="C42" s="230">
        <v>0.014</v>
      </c>
      <c r="D42" s="230">
        <v>0.13</v>
      </c>
      <c r="E42" s="230">
        <v>0.097</v>
      </c>
      <c r="F42" s="230">
        <v>0.066</v>
      </c>
      <c r="G42" s="230">
        <v>0.449</v>
      </c>
      <c r="K42" s="159"/>
    </row>
    <row r="43" spans="1:11" s="19" customFormat="1" ht="12.75">
      <c r="A43" s="19" t="s">
        <v>93</v>
      </c>
      <c r="C43" s="230">
        <v>0.029</v>
      </c>
      <c r="D43" s="230">
        <v>0.174</v>
      </c>
      <c r="E43" s="230">
        <v>0.136</v>
      </c>
      <c r="F43" s="230">
        <v>0.095</v>
      </c>
      <c r="G43" s="230">
        <v>0.566</v>
      </c>
      <c r="K43" s="159"/>
    </row>
    <row r="44" spans="3:7" s="19" customFormat="1" ht="12.75">
      <c r="C44" s="230"/>
      <c r="D44" s="230"/>
      <c r="E44" s="230"/>
      <c r="F44" s="230"/>
      <c r="G44" s="230"/>
    </row>
    <row r="45" spans="1:7" ht="12.75">
      <c r="A45" s="84" t="s">
        <v>103</v>
      </c>
      <c r="C45" s="211"/>
      <c r="D45" s="211"/>
      <c r="E45" s="55"/>
      <c r="F45" s="55"/>
      <c r="G45" s="55"/>
    </row>
    <row r="46" spans="1:9" ht="12.75">
      <c r="A46" s="19" t="s">
        <v>90</v>
      </c>
      <c r="C46" s="19">
        <v>10</v>
      </c>
      <c r="D46" s="19">
        <v>13</v>
      </c>
      <c r="E46" s="19">
        <v>22</v>
      </c>
      <c r="F46" s="19">
        <v>20</v>
      </c>
      <c r="G46" s="19">
        <v>5</v>
      </c>
      <c r="H46" s="19"/>
      <c r="I46" s="19"/>
    </row>
    <row r="47" spans="1:14" ht="12.75">
      <c r="A47" s="19" t="s">
        <v>91</v>
      </c>
      <c r="C47" s="18">
        <v>22891</v>
      </c>
      <c r="D47" s="18">
        <v>59632</v>
      </c>
      <c r="E47" s="18">
        <v>63783</v>
      </c>
      <c r="F47" s="18">
        <v>56537</v>
      </c>
      <c r="G47" s="18">
        <v>77185</v>
      </c>
      <c r="J47" s="175"/>
      <c r="K47" s="175"/>
      <c r="L47" s="175"/>
      <c r="M47" s="175"/>
      <c r="N47" s="175"/>
    </row>
    <row r="48" spans="1:13" ht="12.75">
      <c r="A48" s="19" t="s">
        <v>92</v>
      </c>
      <c r="C48" s="230">
        <v>0.062</v>
      </c>
      <c r="D48" s="230">
        <v>0.161</v>
      </c>
      <c r="E48" s="230">
        <v>0.172</v>
      </c>
      <c r="F48" s="230">
        <v>0.152</v>
      </c>
      <c r="G48" s="230">
        <v>0.208</v>
      </c>
      <c r="H48" s="239"/>
      <c r="I48" s="239"/>
      <c r="J48" s="239"/>
      <c r="K48" s="239"/>
      <c r="L48" s="239"/>
      <c r="M48" s="239"/>
    </row>
    <row r="49" spans="1:7" ht="12.75">
      <c r="A49" s="19" t="s">
        <v>93</v>
      </c>
      <c r="C49" s="230">
        <v>0.078</v>
      </c>
      <c r="D49" s="230">
        <v>0.203</v>
      </c>
      <c r="E49" s="230">
        <v>0.246</v>
      </c>
      <c r="F49" s="230">
        <v>0.218</v>
      </c>
      <c r="G49" s="230">
        <v>0.255</v>
      </c>
    </row>
    <row r="50" spans="1:7" ht="12.75">
      <c r="A50" s="84"/>
      <c r="C50" s="230"/>
      <c r="D50" s="230"/>
      <c r="E50" s="230"/>
      <c r="F50" s="230"/>
      <c r="G50" s="230"/>
    </row>
    <row r="51" spans="1:7" s="19" customFormat="1" ht="12.75">
      <c r="A51" s="84" t="s">
        <v>106</v>
      </c>
      <c r="C51" s="211"/>
      <c r="D51" s="211"/>
      <c r="E51" s="55"/>
      <c r="F51" s="55"/>
      <c r="G51" s="55"/>
    </row>
    <row r="52" spans="1:7" s="19" customFormat="1" ht="12.75">
      <c r="A52" s="19" t="s">
        <v>90</v>
      </c>
      <c r="C52" s="19">
        <v>1</v>
      </c>
      <c r="D52" s="19">
        <v>18</v>
      </c>
      <c r="E52" s="19">
        <v>21</v>
      </c>
      <c r="F52" s="19">
        <v>10</v>
      </c>
      <c r="G52" s="19">
        <v>6</v>
      </c>
    </row>
    <row r="53" spans="1:7" s="19" customFormat="1" ht="12.75">
      <c r="A53" s="19" t="s">
        <v>91</v>
      </c>
      <c r="C53" s="18">
        <v>269</v>
      </c>
      <c r="D53" s="18">
        <v>183991</v>
      </c>
      <c r="E53" s="18">
        <v>174204</v>
      </c>
      <c r="F53" s="18">
        <v>108566</v>
      </c>
      <c r="G53" s="18">
        <v>98760</v>
      </c>
    </row>
    <row r="54" spans="1:7" s="19" customFormat="1" ht="12.75">
      <c r="A54" s="19" t="s">
        <v>92</v>
      </c>
      <c r="C54" s="243">
        <v>0</v>
      </c>
      <c r="D54" s="230">
        <v>0.178</v>
      </c>
      <c r="E54" s="230">
        <v>0.169</v>
      </c>
      <c r="F54" s="230">
        <v>0.105</v>
      </c>
      <c r="G54" s="244">
        <v>0.096</v>
      </c>
    </row>
    <row r="55" spans="1:7" s="19" customFormat="1" ht="12.75">
      <c r="A55" s="19" t="s">
        <v>93</v>
      </c>
      <c r="C55" s="243">
        <v>0.001</v>
      </c>
      <c r="D55" s="230">
        <v>0.341</v>
      </c>
      <c r="E55" s="230">
        <v>0.313</v>
      </c>
      <c r="F55" s="230">
        <v>0.191</v>
      </c>
      <c r="G55" s="244">
        <v>0.155</v>
      </c>
    </row>
    <row r="56" spans="3:7" s="19" customFormat="1" ht="12.75">
      <c r="C56" s="230"/>
      <c r="D56" s="230"/>
      <c r="E56" s="230"/>
      <c r="F56" s="230"/>
      <c r="G56" s="230"/>
    </row>
    <row r="57" spans="1:7" s="19" customFormat="1" ht="12.75">
      <c r="A57" s="84" t="s">
        <v>107</v>
      </c>
      <c r="C57" s="211"/>
      <c r="D57" s="211"/>
      <c r="E57" s="55"/>
      <c r="F57" s="55"/>
      <c r="G57" s="55"/>
    </row>
    <row r="58" spans="1:7" s="19" customFormat="1" ht="12.75">
      <c r="A58" s="19" t="s">
        <v>90</v>
      </c>
      <c r="C58" s="19">
        <v>2</v>
      </c>
      <c r="D58" s="19">
        <v>3</v>
      </c>
      <c r="E58" s="19">
        <v>2</v>
      </c>
      <c r="F58" s="19">
        <v>3</v>
      </c>
      <c r="G58" s="19">
        <v>25</v>
      </c>
    </row>
    <row r="59" spans="1:7" s="19" customFormat="1" ht="12.75">
      <c r="A59" s="19" t="s">
        <v>91</v>
      </c>
      <c r="C59" s="18">
        <v>15252</v>
      </c>
      <c r="D59" s="18">
        <v>15147</v>
      </c>
      <c r="E59" s="18">
        <v>13120</v>
      </c>
      <c r="F59" s="18">
        <v>7170.91018</v>
      </c>
      <c r="G59" s="18">
        <v>201918</v>
      </c>
    </row>
    <row r="60" spans="1:7" s="19" customFormat="1" ht="12.75">
      <c r="A60" s="19" t="s">
        <v>92</v>
      </c>
      <c r="C60" s="230">
        <v>0.043</v>
      </c>
      <c r="D60" s="230">
        <v>0.043</v>
      </c>
      <c r="E60" s="230">
        <v>0.037</v>
      </c>
      <c r="F60" s="230">
        <v>0.020155635878242043</v>
      </c>
      <c r="G60" s="230">
        <v>0.568</v>
      </c>
    </row>
    <row r="61" spans="1:7" s="19" customFormat="1" ht="12.75">
      <c r="A61" s="19" t="s">
        <v>93</v>
      </c>
      <c r="C61" s="230">
        <v>0.079</v>
      </c>
      <c r="D61" s="230">
        <v>0.081</v>
      </c>
      <c r="E61" s="230">
        <v>0.06</v>
      </c>
      <c r="F61" s="230">
        <v>0.027</v>
      </c>
      <c r="G61" s="230">
        <v>0.753</v>
      </c>
    </row>
    <row r="62" spans="3:7" s="19" customFormat="1" ht="12.75">
      <c r="C62" s="18"/>
      <c r="D62" s="18"/>
      <c r="E62" s="18"/>
      <c r="F62" s="18"/>
      <c r="G62" s="18"/>
    </row>
    <row r="63" spans="1:7" ht="12.75">
      <c r="A63" s="84" t="s">
        <v>319</v>
      </c>
      <c r="C63" s="18"/>
      <c r="D63" s="18"/>
      <c r="E63" s="52"/>
      <c r="F63" s="52"/>
      <c r="G63" s="52"/>
    </row>
    <row r="64" spans="1:7" ht="12.75">
      <c r="A64" s="19" t="s">
        <v>90</v>
      </c>
      <c r="C64" s="109">
        <v>0</v>
      </c>
      <c r="D64" s="109">
        <v>0</v>
      </c>
      <c r="E64" s="109">
        <v>0</v>
      </c>
      <c r="F64" s="109">
        <v>0</v>
      </c>
      <c r="G64" s="18">
        <v>1</v>
      </c>
    </row>
    <row r="65" spans="1:7" ht="12.75">
      <c r="A65" s="19" t="s">
        <v>91</v>
      </c>
      <c r="C65" s="109">
        <v>0</v>
      </c>
      <c r="D65" s="109">
        <v>0</v>
      </c>
      <c r="E65" s="109">
        <v>0</v>
      </c>
      <c r="F65" s="109">
        <v>0</v>
      </c>
      <c r="G65" s="245">
        <v>433182.3916</v>
      </c>
    </row>
    <row r="66" spans="1:7" ht="12.75">
      <c r="A66" s="19" t="s">
        <v>92</v>
      </c>
      <c r="C66" s="109">
        <v>0</v>
      </c>
      <c r="D66" s="109">
        <v>0</v>
      </c>
      <c r="E66" s="109">
        <v>0</v>
      </c>
      <c r="F66" s="109">
        <v>0</v>
      </c>
      <c r="G66" s="167">
        <v>1</v>
      </c>
    </row>
    <row r="67" spans="1:7" ht="12.75">
      <c r="A67" s="19" t="s">
        <v>93</v>
      </c>
      <c r="C67" s="109">
        <v>0</v>
      </c>
      <c r="D67" s="109">
        <v>0</v>
      </c>
      <c r="E67" s="109">
        <v>0</v>
      </c>
      <c r="F67" s="109">
        <v>0</v>
      </c>
      <c r="G67" s="246">
        <v>1</v>
      </c>
    </row>
    <row r="68" spans="1:7" ht="12.75">
      <c r="A68" s="84"/>
      <c r="C68" s="19"/>
      <c r="D68" s="19"/>
      <c r="E68" s="19"/>
      <c r="F68" s="19"/>
      <c r="G68" s="19"/>
    </row>
    <row r="69" spans="1:7" ht="12.75">
      <c r="A69" s="84" t="s">
        <v>180</v>
      </c>
      <c r="C69" s="19"/>
      <c r="D69" s="19"/>
      <c r="E69" s="19"/>
      <c r="F69" s="19"/>
      <c r="G69" s="19"/>
    </row>
    <row r="70" spans="1:7" ht="12.75">
      <c r="A70" s="19" t="s">
        <v>90</v>
      </c>
      <c r="C70" s="247">
        <v>0</v>
      </c>
      <c r="D70" s="19">
        <v>6</v>
      </c>
      <c r="E70" s="19">
        <v>2</v>
      </c>
      <c r="F70" s="19">
        <v>2</v>
      </c>
      <c r="G70" s="19">
        <v>19</v>
      </c>
    </row>
    <row r="71" spans="1:7" ht="12.75">
      <c r="A71" s="19" t="s">
        <v>91</v>
      </c>
      <c r="C71" s="248">
        <v>0</v>
      </c>
      <c r="D71" s="18">
        <v>100545.58989999999</v>
      </c>
      <c r="E71" s="18">
        <v>13131.958</v>
      </c>
      <c r="F71" s="18">
        <v>11786.4705</v>
      </c>
      <c r="G71" s="18">
        <v>205171</v>
      </c>
    </row>
    <row r="72" spans="1:7" ht="12.75">
      <c r="A72" s="19" t="s">
        <v>92</v>
      </c>
      <c r="C72" s="243">
        <v>0</v>
      </c>
      <c r="D72" s="230">
        <v>0.2918971282147433</v>
      </c>
      <c r="E72" s="230">
        <v>0.03812380863098029</v>
      </c>
      <c r="F72" s="230">
        <v>0.03421768069747821</v>
      </c>
      <c r="G72" s="230">
        <v>0.596</v>
      </c>
    </row>
    <row r="73" spans="1:7" ht="12.75">
      <c r="A73" s="19" t="s">
        <v>93</v>
      </c>
      <c r="C73" s="243">
        <v>0</v>
      </c>
      <c r="D73" s="230">
        <v>0.28</v>
      </c>
      <c r="E73" s="230">
        <v>0.041</v>
      </c>
      <c r="F73" s="230">
        <v>0.036</v>
      </c>
      <c r="G73" s="230">
        <v>0.643</v>
      </c>
    </row>
    <row r="74" spans="1:7" ht="12.75">
      <c r="A74" s="19"/>
      <c r="C74" s="243"/>
      <c r="D74" s="230"/>
      <c r="E74" s="230"/>
      <c r="F74" s="230"/>
      <c r="G74" s="230"/>
    </row>
    <row r="75" spans="1:7" ht="12.75">
      <c r="A75" s="84" t="s">
        <v>253</v>
      </c>
      <c r="C75" s="19"/>
      <c r="D75" s="19"/>
      <c r="E75" s="19"/>
      <c r="F75" s="19"/>
      <c r="G75" s="19"/>
    </row>
    <row r="76" spans="1:7" ht="12.75">
      <c r="A76" s="19" t="s">
        <v>90</v>
      </c>
      <c r="C76" s="19">
        <v>2</v>
      </c>
      <c r="D76" s="19">
        <v>3</v>
      </c>
      <c r="E76" s="19">
        <v>2</v>
      </c>
      <c r="F76" s="19">
        <v>4</v>
      </c>
      <c r="G76" s="19">
        <v>37</v>
      </c>
    </row>
    <row r="77" spans="1:7" ht="12.75">
      <c r="A77" s="19" t="s">
        <v>91</v>
      </c>
      <c r="C77" s="18">
        <v>1151</v>
      </c>
      <c r="D77" s="18">
        <v>5653</v>
      </c>
      <c r="E77" s="18">
        <v>9712.5</v>
      </c>
      <c r="F77" s="18">
        <v>2824</v>
      </c>
      <c r="G77" s="18">
        <v>247310</v>
      </c>
    </row>
    <row r="78" spans="1:7" ht="12.75">
      <c r="A78" s="19" t="s">
        <v>92</v>
      </c>
      <c r="C78" s="246">
        <v>0.004</v>
      </c>
      <c r="D78" s="230">
        <v>0.021</v>
      </c>
      <c r="E78" s="230">
        <v>0.03546748700073402</v>
      </c>
      <c r="F78" s="230">
        <v>0.01</v>
      </c>
      <c r="G78" s="230">
        <v>0.903</v>
      </c>
    </row>
    <row r="79" spans="1:7" ht="12.75">
      <c r="A79" s="19" t="s">
        <v>93</v>
      </c>
      <c r="C79" s="246">
        <v>0.006</v>
      </c>
      <c r="D79" s="230">
        <v>0.02383951611022681</v>
      </c>
      <c r="E79" s="230">
        <v>0.04438070808384044</v>
      </c>
      <c r="F79" s="230">
        <v>0.014</v>
      </c>
      <c r="G79" s="230">
        <v>0.912</v>
      </c>
    </row>
    <row r="80" spans="1:7" s="19" customFormat="1" ht="12.75">
      <c r="A80" s="96"/>
      <c r="B80" s="96"/>
      <c r="C80" s="96"/>
      <c r="D80" s="97"/>
      <c r="E80" s="224"/>
      <c r="F80" s="224"/>
      <c r="G80" s="224"/>
    </row>
    <row r="81" spans="1:7" s="19" customFormat="1" ht="12.75">
      <c r="A81" s="96"/>
      <c r="B81" s="96"/>
      <c r="C81" s="96"/>
      <c r="D81" s="230"/>
      <c r="E81" s="230"/>
      <c r="F81" s="230"/>
      <c r="G81" s="230"/>
    </row>
    <row r="82" spans="1:7" s="19" customFormat="1" ht="12.75">
      <c r="A82" s="96"/>
      <c r="B82" s="96"/>
      <c r="C82" s="96"/>
      <c r="D82" s="97"/>
      <c r="E82" s="224"/>
      <c r="F82" s="224"/>
      <c r="G82" s="224"/>
    </row>
    <row r="83" spans="1:7" s="114" customFormat="1" ht="9.75">
      <c r="A83" s="114" t="s">
        <v>89</v>
      </c>
      <c r="C83" s="225"/>
      <c r="D83" s="225"/>
      <c r="E83" s="225"/>
      <c r="F83" s="226"/>
      <c r="G83" s="226"/>
    </row>
    <row r="84" spans="1:7" s="197" customFormat="1" ht="43.5" customHeight="1">
      <c r="A84" s="165">
        <v>1</v>
      </c>
      <c r="B84" s="254" t="s">
        <v>325</v>
      </c>
      <c r="C84" s="254"/>
      <c r="D84" s="254"/>
      <c r="E84" s="254"/>
      <c r="F84" s="254"/>
      <c r="G84" s="254"/>
    </row>
    <row r="85" spans="1:7" s="197" customFormat="1" ht="35.25" customHeight="1">
      <c r="A85" s="165">
        <v>2</v>
      </c>
      <c r="B85" s="252" t="s">
        <v>303</v>
      </c>
      <c r="C85" s="252"/>
      <c r="D85" s="252"/>
      <c r="E85" s="252"/>
      <c r="F85" s="252"/>
      <c r="G85" s="252"/>
    </row>
    <row r="86" spans="1:7" ht="30" customHeight="1">
      <c r="A86" s="165"/>
      <c r="B86" s="253"/>
      <c r="C86" s="253"/>
      <c r="D86" s="253"/>
      <c r="E86" s="253"/>
      <c r="F86" s="253"/>
      <c r="G86" s="253"/>
    </row>
    <row r="87" spans="1:2" ht="21" customHeight="1">
      <c r="A87" s="37"/>
      <c r="B87" s="36"/>
    </row>
    <row r="88" ht="21" customHeight="1"/>
    <row r="89" spans="3:6" ht="12.75">
      <c r="C89" s="18"/>
      <c r="D89" s="18"/>
      <c r="E89" s="18"/>
      <c r="F89" s="18"/>
    </row>
    <row r="90" ht="12.75">
      <c r="G90" s="129"/>
    </row>
  </sheetData>
  <sheetProtection/>
  <mergeCells count="4">
    <mergeCell ref="C25:D25"/>
    <mergeCell ref="B85:G85"/>
    <mergeCell ref="B86:G86"/>
    <mergeCell ref="B84:G84"/>
  </mergeCells>
  <printOptions/>
  <pageMargins left="0.75" right="0.75" top="0.5" bottom="0.5" header="0.5" footer="0.5"/>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O89"/>
  <sheetViews>
    <sheetView view="pageBreakPreview" zoomScale="80" zoomScaleSheetLayoutView="80" zoomScalePageLayoutView="0" workbookViewId="0" topLeftCell="A1">
      <pane xSplit="2" ySplit="5" topLeftCell="J67" activePane="bottomRight" state="frozen"/>
      <selection pane="topLeft" activeCell="A1" sqref="A1"/>
      <selection pane="topRight" activeCell="C1" sqref="C1"/>
      <selection pane="bottomLeft" activeCell="A6" sqref="A6"/>
      <selection pane="bottomRight" activeCell="Q79" sqref="Q79"/>
    </sheetView>
  </sheetViews>
  <sheetFormatPr defaultColWidth="10.7109375" defaultRowHeight="12.75"/>
  <cols>
    <col min="1" max="1" width="3.421875" style="6" customWidth="1"/>
    <col min="2" max="2" width="23.7109375" style="6" customWidth="1"/>
    <col min="3" max="5" width="11.00390625" style="7" hidden="1" customWidth="1"/>
    <col min="6" max="6" width="12.8515625" style="7" hidden="1" customWidth="1"/>
    <col min="7" max="7" width="10.7109375" style="7" hidden="1" customWidth="1"/>
    <col min="8" max="8" width="0" style="6" hidden="1" customWidth="1"/>
    <col min="9" max="9" width="10.7109375" style="19" hidden="1" customWidth="1"/>
    <col min="10" max="11" width="10.7109375" style="6" customWidth="1"/>
    <col min="12" max="12" width="12.00390625" style="6" bestFit="1" customWidth="1"/>
    <col min="13" max="13" width="11.28125" style="6" customWidth="1"/>
    <col min="14" max="16384" width="10.7109375" style="6" customWidth="1"/>
  </cols>
  <sheetData>
    <row r="1" spans="1:14" s="15" customFormat="1" ht="16.5">
      <c r="A1" s="22" t="s">
        <v>26</v>
      </c>
      <c r="B1" s="14"/>
      <c r="C1" s="3"/>
      <c r="D1" s="3"/>
      <c r="E1" s="5"/>
      <c r="F1" s="5"/>
      <c r="G1" s="5"/>
      <c r="I1" s="176"/>
      <c r="M1" s="176"/>
      <c r="N1" s="176"/>
    </row>
    <row r="2" spans="1:14" s="15" customFormat="1" ht="16.5">
      <c r="A2" s="1" t="str">
        <f>Portfolio!$A$2</f>
        <v>PORTFOLIO INFORMATION AS AT 30 JUNE 2019</v>
      </c>
      <c r="B2" s="14"/>
      <c r="C2" s="3"/>
      <c r="D2" s="3"/>
      <c r="E2" s="5"/>
      <c r="F2" s="5"/>
      <c r="G2" s="5"/>
      <c r="I2" s="176"/>
      <c r="M2" s="176"/>
      <c r="N2" s="176"/>
    </row>
    <row r="3" spans="1:14" s="15" customFormat="1" ht="16.5">
      <c r="A3" s="14"/>
      <c r="B3" s="14"/>
      <c r="C3" s="3"/>
      <c r="D3" s="3"/>
      <c r="E3" s="5"/>
      <c r="F3" s="5"/>
      <c r="G3" s="5"/>
      <c r="I3" s="176"/>
      <c r="M3" s="176"/>
      <c r="N3" s="176"/>
    </row>
    <row r="4" spans="1:14" s="72" customFormat="1" ht="11.25">
      <c r="A4" s="69"/>
      <c r="B4" s="69"/>
      <c r="C4" s="70"/>
      <c r="D4" s="70"/>
      <c r="E4" s="71"/>
      <c r="F4" s="71"/>
      <c r="G4" s="71"/>
      <c r="I4" s="168"/>
      <c r="M4" s="168"/>
      <c r="N4" s="168"/>
    </row>
    <row r="5" spans="1:15" ht="26.25">
      <c r="A5" s="12" t="s">
        <v>80</v>
      </c>
      <c r="B5" s="12"/>
      <c r="C5" s="57" t="s">
        <v>75</v>
      </c>
      <c r="D5" s="57" t="s">
        <v>74</v>
      </c>
      <c r="E5" s="57" t="s">
        <v>22</v>
      </c>
      <c r="F5" s="104" t="s">
        <v>94</v>
      </c>
      <c r="G5" s="104" t="s">
        <v>102</v>
      </c>
      <c r="H5" s="104" t="s">
        <v>121</v>
      </c>
      <c r="I5" s="177" t="s">
        <v>122</v>
      </c>
      <c r="J5" s="104" t="s">
        <v>123</v>
      </c>
      <c r="K5" s="104" t="s">
        <v>124</v>
      </c>
      <c r="L5" s="104" t="s">
        <v>143</v>
      </c>
      <c r="M5" s="177" t="s">
        <v>188</v>
      </c>
      <c r="N5" s="177" t="s">
        <v>192</v>
      </c>
      <c r="O5" s="177" t="s">
        <v>288</v>
      </c>
    </row>
    <row r="6" spans="13:15" ht="12.75">
      <c r="M6" s="19"/>
      <c r="N6" s="19"/>
      <c r="O6" s="19"/>
    </row>
    <row r="7" spans="1:15" ht="12.75">
      <c r="A7" s="16" t="s">
        <v>1</v>
      </c>
      <c r="B7" s="16"/>
      <c r="C7" s="17"/>
      <c r="D7" s="17"/>
      <c r="E7" s="17"/>
      <c r="F7" s="17"/>
      <c r="G7" s="17"/>
      <c r="M7" s="19"/>
      <c r="N7" s="19"/>
      <c r="O7" s="19"/>
    </row>
    <row r="8" spans="1:15" ht="12.75">
      <c r="A8" s="2" t="s">
        <v>103</v>
      </c>
      <c r="B8" s="16"/>
      <c r="C8" s="58">
        <v>13257</v>
      </c>
      <c r="D8" s="58">
        <v>17550</v>
      </c>
      <c r="E8" s="58">
        <v>17550</v>
      </c>
      <c r="F8" s="58">
        <v>13163</v>
      </c>
      <c r="G8" s="58">
        <v>17550</v>
      </c>
      <c r="H8" s="58">
        <v>17550</v>
      </c>
      <c r="I8" s="66">
        <v>22323</v>
      </c>
      <c r="J8" s="58">
        <v>28055</v>
      </c>
      <c r="K8" s="58">
        <v>30404</v>
      </c>
      <c r="L8" s="179">
        <v>31440</v>
      </c>
      <c r="M8" s="66">
        <v>28730</v>
      </c>
      <c r="N8" s="66">
        <f>SUM('Qtr metrics '!AT8:AW8)</f>
        <v>26234</v>
      </c>
      <c r="O8" s="66">
        <f>SUM('Qtr metrics '!AX8:BA8)</f>
        <v>23299</v>
      </c>
    </row>
    <row r="9" spans="1:15" ht="12.75">
      <c r="A9" s="2" t="s">
        <v>104</v>
      </c>
      <c r="B9" s="16"/>
      <c r="C9" s="58">
        <v>0</v>
      </c>
      <c r="D9" s="58">
        <v>4383</v>
      </c>
      <c r="E9" s="58">
        <v>7089</v>
      </c>
      <c r="F9" s="58">
        <v>5243</v>
      </c>
      <c r="G9" s="58">
        <v>6512</v>
      </c>
      <c r="H9" s="58">
        <v>5665</v>
      </c>
      <c r="I9" s="66">
        <v>5631</v>
      </c>
      <c r="J9" s="58">
        <v>5259</v>
      </c>
      <c r="K9" s="58">
        <v>5402</v>
      </c>
      <c r="L9" s="179">
        <v>6037</v>
      </c>
      <c r="M9" s="66">
        <v>5887</v>
      </c>
      <c r="N9" s="66">
        <f>SUM('Qtr metrics '!AT9:AW9)</f>
        <v>5876</v>
      </c>
      <c r="O9" s="66">
        <f>SUM('Qtr metrics '!AX9:BA9)</f>
        <v>4793</v>
      </c>
    </row>
    <row r="10" spans="1:15" ht="12.75">
      <c r="A10" s="2" t="s">
        <v>105</v>
      </c>
      <c r="B10" s="16"/>
      <c r="C10" s="58">
        <v>0</v>
      </c>
      <c r="D10" s="58">
        <v>3851</v>
      </c>
      <c r="E10" s="58">
        <v>21366</v>
      </c>
      <c r="F10" s="58">
        <v>11611</v>
      </c>
      <c r="G10" s="58">
        <v>14954</v>
      </c>
      <c r="H10" s="58">
        <v>16050</v>
      </c>
      <c r="I10" s="66">
        <v>16123</v>
      </c>
      <c r="J10" s="58">
        <v>22</v>
      </c>
      <c r="K10" s="58">
        <v>0</v>
      </c>
      <c r="L10" s="179">
        <v>0</v>
      </c>
      <c r="M10" s="66">
        <v>0</v>
      </c>
      <c r="N10" s="66">
        <f>SUM('Qtr metrics '!AT10:AW10)</f>
        <v>0</v>
      </c>
      <c r="O10" s="66">
        <f>SUM('Qtr metrics '!AX10:BA10)</f>
        <v>0</v>
      </c>
    </row>
    <row r="11" spans="1:15" ht="12.75">
      <c r="A11" s="2" t="s">
        <v>106</v>
      </c>
      <c r="B11" s="16"/>
      <c r="C11" s="58">
        <v>0</v>
      </c>
      <c r="D11" s="58">
        <v>0</v>
      </c>
      <c r="E11" s="58">
        <v>0</v>
      </c>
      <c r="F11" s="58">
        <v>2188</v>
      </c>
      <c r="G11" s="58">
        <v>22000</v>
      </c>
      <c r="H11" s="58">
        <v>22000</v>
      </c>
      <c r="I11" s="66">
        <v>22000</v>
      </c>
      <c r="J11" s="58">
        <v>22000</v>
      </c>
      <c r="K11" s="58">
        <v>24671</v>
      </c>
      <c r="L11" s="179">
        <v>50493</v>
      </c>
      <c r="M11" s="66">
        <v>53059</v>
      </c>
      <c r="N11" s="66">
        <f>SUM('Qtr metrics '!AT11:AW11)</f>
        <v>51851</v>
      </c>
      <c r="O11" s="66">
        <f>SUM('Qtr metrics '!AX11:BA11)</f>
        <v>38713</v>
      </c>
    </row>
    <row r="12" spans="1:15" ht="12.75">
      <c r="A12" s="2" t="s">
        <v>107</v>
      </c>
      <c r="B12" s="16"/>
      <c r="C12" s="58">
        <v>19408</v>
      </c>
      <c r="D12" s="58">
        <v>30611</v>
      </c>
      <c r="E12" s="58">
        <v>30900</v>
      </c>
      <c r="F12" s="58">
        <v>20268</v>
      </c>
      <c r="G12" s="58">
        <v>29457</v>
      </c>
      <c r="H12" s="58">
        <v>33953</v>
      </c>
      <c r="I12" s="66">
        <v>36717</v>
      </c>
      <c r="J12" s="58">
        <v>37005</v>
      </c>
      <c r="K12" s="58">
        <v>34483</v>
      </c>
      <c r="L12" s="179">
        <v>29805</v>
      </c>
      <c r="M12" s="66">
        <v>26555</v>
      </c>
      <c r="N12" s="66">
        <f>SUM('Qtr metrics '!AT12:AW12)</f>
        <v>27895</v>
      </c>
      <c r="O12" s="66">
        <f>SUM('Qtr metrics '!AX12:BA12)</f>
        <v>23416</v>
      </c>
    </row>
    <row r="13" spans="1:15" ht="12.75">
      <c r="A13" s="2" t="s">
        <v>108</v>
      </c>
      <c r="B13" s="16"/>
      <c r="C13" s="58">
        <v>0</v>
      </c>
      <c r="D13" s="58">
        <v>6058</v>
      </c>
      <c r="E13" s="58">
        <v>11538</v>
      </c>
      <c r="F13" s="58">
        <v>7990</v>
      </c>
      <c r="G13" s="58">
        <v>12014</v>
      </c>
      <c r="H13" s="58">
        <v>12631</v>
      </c>
      <c r="I13" s="66">
        <v>19602</v>
      </c>
      <c r="J13" s="58">
        <v>25334</v>
      </c>
      <c r="K13" s="58">
        <v>23878</v>
      </c>
      <c r="L13" s="179">
        <v>22042</v>
      </c>
      <c r="M13" s="66">
        <v>21202</v>
      </c>
      <c r="N13" s="66">
        <f>SUM('Qtr metrics '!AT13:AW13)</f>
        <v>22217</v>
      </c>
      <c r="O13" s="66">
        <f>SUM('Qtr metrics '!AX13:BA13)</f>
        <v>21271</v>
      </c>
    </row>
    <row r="14" spans="1:15" ht="12.75">
      <c r="A14" s="2" t="s">
        <v>180</v>
      </c>
      <c r="B14" s="16"/>
      <c r="C14" s="58">
        <v>0</v>
      </c>
      <c r="D14" s="58">
        <v>0</v>
      </c>
      <c r="E14" s="58">
        <v>0</v>
      </c>
      <c r="F14" s="58">
        <v>0</v>
      </c>
      <c r="G14" s="58">
        <v>0</v>
      </c>
      <c r="H14" s="58">
        <v>0</v>
      </c>
      <c r="I14" s="58">
        <v>0</v>
      </c>
      <c r="J14" s="58">
        <v>0</v>
      </c>
      <c r="K14" s="58">
        <v>0</v>
      </c>
      <c r="L14" s="179">
        <v>2370</v>
      </c>
      <c r="M14" s="66">
        <v>21064</v>
      </c>
      <c r="N14" s="66">
        <f>SUM('Qtr metrics '!AT14:AW14)</f>
        <v>22478</v>
      </c>
      <c r="O14" s="66">
        <f>SUM('Qtr metrics '!AX14:BA14)</f>
        <v>21814</v>
      </c>
    </row>
    <row r="15" spans="1:15" ht="12.75">
      <c r="A15" s="2" t="s">
        <v>138</v>
      </c>
      <c r="B15" s="2"/>
      <c r="C15" s="58">
        <v>0</v>
      </c>
      <c r="D15" s="58">
        <v>3013</v>
      </c>
      <c r="E15" s="58">
        <v>7878</v>
      </c>
      <c r="F15" s="58">
        <v>3301</v>
      </c>
      <c r="G15" s="58">
        <v>4583</v>
      </c>
      <c r="H15" s="58">
        <v>803</v>
      </c>
      <c r="I15" s="66">
        <v>0</v>
      </c>
      <c r="J15" s="58">
        <v>0</v>
      </c>
      <c r="K15" s="58">
        <v>0</v>
      </c>
      <c r="L15" s="179">
        <v>0</v>
      </c>
      <c r="M15" s="66">
        <v>0</v>
      </c>
      <c r="N15" s="66">
        <v>0</v>
      </c>
      <c r="O15" s="66">
        <f>SUM('Qtr metrics '!AX15:BA15)</f>
        <v>0</v>
      </c>
    </row>
    <row r="16" spans="1:15" ht="12.75">
      <c r="A16" s="2" t="s">
        <v>109</v>
      </c>
      <c r="B16" s="2"/>
      <c r="C16" s="58">
        <v>0</v>
      </c>
      <c r="D16" s="58">
        <v>382</v>
      </c>
      <c r="E16" s="58">
        <v>6299</v>
      </c>
      <c r="F16" s="58">
        <v>5340</v>
      </c>
      <c r="G16" s="58">
        <v>6596</v>
      </c>
      <c r="H16" s="58">
        <v>6645</v>
      </c>
      <c r="I16" s="66">
        <v>6076</v>
      </c>
      <c r="J16" s="58">
        <v>319</v>
      </c>
      <c r="K16" s="58">
        <v>0</v>
      </c>
      <c r="L16" s="179">
        <v>0</v>
      </c>
      <c r="M16" s="66">
        <v>0</v>
      </c>
      <c r="N16" s="66">
        <v>0</v>
      </c>
      <c r="O16" s="66">
        <f>SUM('Qtr metrics '!AX16:BA16)</f>
        <v>0</v>
      </c>
    </row>
    <row r="17" spans="1:15" ht="12.75">
      <c r="A17" s="2" t="s">
        <v>110</v>
      </c>
      <c r="B17" s="2"/>
      <c r="C17" s="58">
        <v>0</v>
      </c>
      <c r="D17" s="58">
        <v>1520</v>
      </c>
      <c r="E17" s="58">
        <v>1572</v>
      </c>
      <c r="F17" s="58">
        <v>1293</v>
      </c>
      <c r="G17" s="58">
        <v>1726</v>
      </c>
      <c r="H17" s="58">
        <v>1710</v>
      </c>
      <c r="I17" s="66">
        <v>1747</v>
      </c>
      <c r="J17" s="58">
        <v>120</v>
      </c>
      <c r="K17" s="58">
        <v>0</v>
      </c>
      <c r="L17" s="179">
        <v>0</v>
      </c>
      <c r="M17" s="66">
        <v>0</v>
      </c>
      <c r="N17" s="66">
        <v>0</v>
      </c>
      <c r="O17" s="66">
        <f>SUM('Qtr metrics '!AX17:BA17)</f>
        <v>0</v>
      </c>
    </row>
    <row r="18" spans="1:15" ht="12.75">
      <c r="A18" s="2" t="s">
        <v>111</v>
      </c>
      <c r="B18" s="2"/>
      <c r="C18" s="58">
        <v>0</v>
      </c>
      <c r="D18" s="58">
        <v>560</v>
      </c>
      <c r="E18" s="58">
        <v>2267</v>
      </c>
      <c r="F18" s="58">
        <v>1918</v>
      </c>
      <c r="G18" s="58">
        <v>2542</v>
      </c>
      <c r="H18" s="58">
        <v>2560</v>
      </c>
      <c r="I18" s="66">
        <v>2642</v>
      </c>
      <c r="J18" s="58">
        <v>83</v>
      </c>
      <c r="K18" s="58">
        <v>0</v>
      </c>
      <c r="L18" s="179">
        <v>0</v>
      </c>
      <c r="M18" s="66">
        <v>0</v>
      </c>
      <c r="N18" s="66">
        <v>0</v>
      </c>
      <c r="O18" s="66">
        <f>SUM('Qtr metrics '!AX18:BA18)</f>
        <v>0</v>
      </c>
    </row>
    <row r="19" spans="1:15" ht="12.75">
      <c r="A19" s="2" t="s">
        <v>31</v>
      </c>
      <c r="B19" s="2"/>
      <c r="C19" s="58">
        <v>2226</v>
      </c>
      <c r="D19" s="58">
        <v>7319</v>
      </c>
      <c r="E19" s="58">
        <v>495</v>
      </c>
      <c r="F19" s="58">
        <v>0</v>
      </c>
      <c r="G19" s="58">
        <v>0</v>
      </c>
      <c r="H19" s="58">
        <v>0</v>
      </c>
      <c r="I19" s="66">
        <v>0</v>
      </c>
      <c r="J19" s="58">
        <v>0</v>
      </c>
      <c r="K19" s="58">
        <v>0</v>
      </c>
      <c r="L19" s="179">
        <v>0</v>
      </c>
      <c r="M19" s="66">
        <v>0</v>
      </c>
      <c r="N19" s="66">
        <v>0</v>
      </c>
      <c r="O19" s="66">
        <f>SUM('Qtr metrics '!AX19:BA19)</f>
        <v>0</v>
      </c>
    </row>
    <row r="20" spans="1:15" ht="13.5" thickBot="1">
      <c r="A20" s="2" t="s">
        <v>29</v>
      </c>
      <c r="B20" s="2"/>
      <c r="C20" s="59">
        <f aca="true" t="shared" si="0" ref="C20:I20">SUM(C8:C19)</f>
        <v>34891</v>
      </c>
      <c r="D20" s="59">
        <f t="shared" si="0"/>
        <v>75247</v>
      </c>
      <c r="E20" s="59">
        <f t="shared" si="0"/>
        <v>106954</v>
      </c>
      <c r="F20" s="59">
        <f t="shared" si="0"/>
        <v>72315</v>
      </c>
      <c r="G20" s="59">
        <f t="shared" si="0"/>
        <v>117934</v>
      </c>
      <c r="H20" s="59">
        <f t="shared" si="0"/>
        <v>119567</v>
      </c>
      <c r="I20" s="126">
        <f t="shared" si="0"/>
        <v>132861</v>
      </c>
      <c r="J20" s="59">
        <f aca="true" t="shared" si="1" ref="J20:O20">SUM(J8:J19)</f>
        <v>118197</v>
      </c>
      <c r="K20" s="59">
        <f t="shared" si="1"/>
        <v>118838</v>
      </c>
      <c r="L20" s="180">
        <f t="shared" si="1"/>
        <v>142187</v>
      </c>
      <c r="M20" s="181">
        <f t="shared" si="1"/>
        <v>156497</v>
      </c>
      <c r="N20" s="181">
        <f t="shared" si="1"/>
        <v>156551</v>
      </c>
      <c r="O20" s="181">
        <f t="shared" si="1"/>
        <v>133306</v>
      </c>
    </row>
    <row r="21" spans="1:13" s="19" customFormat="1" ht="12.75">
      <c r="A21" s="52"/>
      <c r="C21" s="66"/>
      <c r="D21" s="66"/>
      <c r="E21" s="66"/>
      <c r="F21" s="66"/>
      <c r="G21" s="66"/>
      <c r="L21" s="6"/>
      <c r="M21" s="66"/>
    </row>
    <row r="22" spans="1:15" ht="12.75">
      <c r="A22" s="16" t="s">
        <v>2</v>
      </c>
      <c r="B22" s="16"/>
      <c r="C22" s="58"/>
      <c r="D22" s="58"/>
      <c r="E22" s="58"/>
      <c r="F22" s="58"/>
      <c r="G22" s="58"/>
      <c r="M22" s="66"/>
      <c r="N22" s="19"/>
      <c r="O22" s="19"/>
    </row>
    <row r="23" spans="1:15" ht="12.75">
      <c r="A23" s="2" t="s">
        <v>103</v>
      </c>
      <c r="B23" s="16"/>
      <c r="C23" s="58">
        <v>12858</v>
      </c>
      <c r="D23" s="58">
        <v>16959</v>
      </c>
      <c r="E23" s="58">
        <v>16999</v>
      </c>
      <c r="F23" s="58">
        <v>12737</v>
      </c>
      <c r="G23" s="58">
        <v>16959</v>
      </c>
      <c r="H23" s="58">
        <v>16967</v>
      </c>
      <c r="I23" s="66">
        <v>17014</v>
      </c>
      <c r="J23" s="58">
        <v>17808</v>
      </c>
      <c r="K23" s="58">
        <v>20307</v>
      </c>
      <c r="L23" s="179">
        <v>20876</v>
      </c>
      <c r="M23" s="65">
        <v>18925</v>
      </c>
      <c r="N23" s="65">
        <f>SUM('Qtr metrics '!AT38:AW38)</f>
        <v>17111</v>
      </c>
      <c r="O23" s="65">
        <f>SUM('Qtr metrics '!AX38:BA38)</f>
        <v>14426</v>
      </c>
    </row>
    <row r="24" spans="1:15" ht="12.75">
      <c r="A24" s="2" t="s">
        <v>104</v>
      </c>
      <c r="B24" s="16"/>
      <c r="C24" s="58">
        <v>-59</v>
      </c>
      <c r="D24" s="58">
        <v>2951</v>
      </c>
      <c r="E24" s="58">
        <v>4967</v>
      </c>
      <c r="F24" s="58">
        <v>4052</v>
      </c>
      <c r="G24" s="58">
        <v>5086</v>
      </c>
      <c r="H24" s="58">
        <v>4102</v>
      </c>
      <c r="I24" s="66">
        <v>4009</v>
      </c>
      <c r="J24" s="58">
        <v>3601</v>
      </c>
      <c r="K24" s="58">
        <v>3675</v>
      </c>
      <c r="L24" s="179">
        <v>4258</v>
      </c>
      <c r="M24" s="65">
        <v>4202</v>
      </c>
      <c r="N24" s="65">
        <f>SUM('Qtr metrics '!AT39:AW39)</f>
        <v>4247</v>
      </c>
      <c r="O24" s="65">
        <f>SUM('Qtr metrics '!AX39:BA39)</f>
        <v>3173</v>
      </c>
    </row>
    <row r="25" spans="1:15" ht="12.75">
      <c r="A25" s="2" t="s">
        <v>105</v>
      </c>
      <c r="B25" s="16"/>
      <c r="C25" s="58">
        <v>0</v>
      </c>
      <c r="D25" s="58">
        <v>2861</v>
      </c>
      <c r="E25" s="58">
        <v>15914</v>
      </c>
      <c r="F25" s="58">
        <v>8454</v>
      </c>
      <c r="G25" s="58">
        <v>10629</v>
      </c>
      <c r="H25" s="58">
        <v>11248</v>
      </c>
      <c r="I25" s="66">
        <v>10946</v>
      </c>
      <c r="J25" s="58">
        <v>23</v>
      </c>
      <c r="K25" s="58">
        <v>0</v>
      </c>
      <c r="L25" s="179">
        <v>0</v>
      </c>
      <c r="M25" s="65">
        <v>0</v>
      </c>
      <c r="N25" s="65">
        <f>SUM('Qtr metrics '!AT40:AW40)</f>
        <v>0</v>
      </c>
      <c r="O25" s="65">
        <f>SUM('Qtr metrics '!AX40:BA40)</f>
        <v>0</v>
      </c>
    </row>
    <row r="26" spans="1:15" ht="12.75">
      <c r="A26" s="2" t="s">
        <v>106</v>
      </c>
      <c r="B26" s="16"/>
      <c r="C26" s="58">
        <v>0</v>
      </c>
      <c r="D26" s="58">
        <v>0</v>
      </c>
      <c r="E26" s="58">
        <v>0</v>
      </c>
      <c r="F26" s="58">
        <v>2122</v>
      </c>
      <c r="G26" s="58">
        <v>21315</v>
      </c>
      <c r="H26" s="58">
        <v>21329</v>
      </c>
      <c r="I26" s="66">
        <v>21329</v>
      </c>
      <c r="J26" s="58">
        <v>21328</v>
      </c>
      <c r="K26" s="58">
        <v>22597</v>
      </c>
      <c r="L26" s="179">
        <v>36409</v>
      </c>
      <c r="M26" s="65">
        <v>40179</v>
      </c>
      <c r="N26" s="65">
        <f>SUM('Qtr metrics '!AT41:AW41)</f>
        <v>38879</v>
      </c>
      <c r="O26" s="65">
        <f>SUM('Qtr metrics '!AX41:BA41)</f>
        <v>26019</v>
      </c>
    </row>
    <row r="27" spans="1:15" ht="12.75">
      <c r="A27" s="2" t="s">
        <v>107</v>
      </c>
      <c r="B27" s="16"/>
      <c r="C27" s="58">
        <v>13732</v>
      </c>
      <c r="D27" s="58">
        <v>22450</v>
      </c>
      <c r="E27" s="58">
        <v>22329</v>
      </c>
      <c r="F27" s="58">
        <v>14623</v>
      </c>
      <c r="G27" s="58">
        <v>20758</v>
      </c>
      <c r="H27" s="58">
        <v>24271</v>
      </c>
      <c r="I27" s="66">
        <v>26155</v>
      </c>
      <c r="J27" s="58">
        <v>26448</v>
      </c>
      <c r="K27" s="58">
        <v>24504</v>
      </c>
      <c r="L27" s="179">
        <v>20589</v>
      </c>
      <c r="M27" s="65">
        <v>18570</v>
      </c>
      <c r="N27" s="65">
        <f>SUM('Qtr metrics '!AT42:AW42)</f>
        <v>19228</v>
      </c>
      <c r="O27" s="65">
        <f>SUM('Qtr metrics '!AX42:BA42)</f>
        <v>13950</v>
      </c>
    </row>
    <row r="28" spans="1:15" ht="12.75">
      <c r="A28" s="2" t="s">
        <v>108</v>
      </c>
      <c r="B28" s="16"/>
      <c r="C28" s="58">
        <v>0</v>
      </c>
      <c r="D28" s="58">
        <v>5117</v>
      </c>
      <c r="E28" s="58">
        <v>9677</v>
      </c>
      <c r="F28" s="58">
        <v>6998</v>
      </c>
      <c r="G28" s="58">
        <v>10071</v>
      </c>
      <c r="H28" s="58">
        <v>10929</v>
      </c>
      <c r="I28" s="66">
        <v>16226</v>
      </c>
      <c r="J28" s="58">
        <v>21452</v>
      </c>
      <c r="K28" s="58">
        <v>19471</v>
      </c>
      <c r="L28" s="179">
        <v>17880</v>
      </c>
      <c r="M28" s="65">
        <v>17362</v>
      </c>
      <c r="N28" s="65">
        <f>SUM('Qtr metrics '!AT43:AW43)</f>
        <v>17383</v>
      </c>
      <c r="O28" s="65">
        <f>SUM('Qtr metrics '!AX43:BA43)</f>
        <v>15477</v>
      </c>
    </row>
    <row r="29" spans="1:15" ht="12.75">
      <c r="A29" s="2" t="s">
        <v>180</v>
      </c>
      <c r="B29" s="16"/>
      <c r="C29" s="58">
        <v>0</v>
      </c>
      <c r="D29" s="58">
        <v>0</v>
      </c>
      <c r="E29" s="58">
        <v>0</v>
      </c>
      <c r="F29" s="58">
        <v>0</v>
      </c>
      <c r="G29" s="58">
        <v>0</v>
      </c>
      <c r="H29" s="58">
        <v>0</v>
      </c>
      <c r="I29" s="58">
        <v>0</v>
      </c>
      <c r="J29" s="58">
        <v>0</v>
      </c>
      <c r="K29" s="58">
        <v>0</v>
      </c>
      <c r="L29" s="179">
        <v>1856</v>
      </c>
      <c r="M29" s="65">
        <v>16376</v>
      </c>
      <c r="N29" s="65">
        <f>SUM('Qtr metrics '!AT44:AW44)</f>
        <v>16995</v>
      </c>
      <c r="O29" s="65">
        <f>SUM('Qtr metrics '!AX44:BA44)</f>
        <v>16227</v>
      </c>
    </row>
    <row r="30" spans="1:15" ht="12.75">
      <c r="A30" s="2" t="s">
        <v>138</v>
      </c>
      <c r="B30" s="16"/>
      <c r="C30" s="58">
        <v>0</v>
      </c>
      <c r="D30" s="58">
        <v>1985</v>
      </c>
      <c r="E30" s="58">
        <v>4244</v>
      </c>
      <c r="F30" s="58">
        <v>780</v>
      </c>
      <c r="G30" s="58">
        <v>895</v>
      </c>
      <c r="H30" s="58">
        <v>-252</v>
      </c>
      <c r="I30" s="66">
        <v>0</v>
      </c>
      <c r="J30" s="58">
        <v>0</v>
      </c>
      <c r="K30" s="58">
        <v>0</v>
      </c>
      <c r="L30" s="179">
        <v>0</v>
      </c>
      <c r="M30" s="65">
        <v>0</v>
      </c>
      <c r="N30" s="65">
        <v>0</v>
      </c>
      <c r="O30" s="65">
        <f>SUM('Qtr metrics '!AX45:BA45)</f>
        <v>0</v>
      </c>
    </row>
    <row r="31" spans="1:15" ht="12.75">
      <c r="A31" s="2" t="s">
        <v>109</v>
      </c>
      <c r="B31" s="16"/>
      <c r="C31" s="58">
        <v>0</v>
      </c>
      <c r="D31" s="58">
        <v>261</v>
      </c>
      <c r="E31" s="58">
        <v>3708</v>
      </c>
      <c r="F31" s="58">
        <v>3440</v>
      </c>
      <c r="G31" s="58">
        <v>3999</v>
      </c>
      <c r="H31" s="58">
        <v>4106</v>
      </c>
      <c r="I31" s="66">
        <v>3354</v>
      </c>
      <c r="J31" s="58">
        <v>127</v>
      </c>
      <c r="K31" s="58">
        <v>0</v>
      </c>
      <c r="L31" s="179">
        <v>0</v>
      </c>
      <c r="M31" s="65">
        <v>0</v>
      </c>
      <c r="N31" s="65">
        <v>0</v>
      </c>
      <c r="O31" s="65">
        <f>SUM('Qtr metrics '!AX46:BA46)</f>
        <v>0</v>
      </c>
    </row>
    <row r="32" spans="1:15" ht="12.75">
      <c r="A32" s="2" t="s">
        <v>110</v>
      </c>
      <c r="B32" s="16"/>
      <c r="C32" s="58">
        <v>0</v>
      </c>
      <c r="D32" s="58">
        <v>1027</v>
      </c>
      <c r="E32" s="58">
        <v>935</v>
      </c>
      <c r="F32" s="58">
        <v>852</v>
      </c>
      <c r="G32" s="58">
        <v>1168</v>
      </c>
      <c r="H32" s="58">
        <v>1159</v>
      </c>
      <c r="I32" s="66">
        <v>1211</v>
      </c>
      <c r="J32" s="58">
        <v>85</v>
      </c>
      <c r="K32" s="58">
        <v>0</v>
      </c>
      <c r="L32" s="179">
        <v>0</v>
      </c>
      <c r="M32" s="65">
        <v>0</v>
      </c>
      <c r="N32" s="65">
        <v>0</v>
      </c>
      <c r="O32" s="65">
        <f>SUM('Qtr metrics '!AX47:BA47)</f>
        <v>0</v>
      </c>
    </row>
    <row r="33" spans="1:15" ht="12.75">
      <c r="A33" s="2" t="s">
        <v>111</v>
      </c>
      <c r="B33" s="16"/>
      <c r="C33" s="58">
        <v>0</v>
      </c>
      <c r="D33" s="58">
        <v>491</v>
      </c>
      <c r="E33" s="58">
        <v>1691</v>
      </c>
      <c r="F33" s="58">
        <v>1644</v>
      </c>
      <c r="G33" s="58">
        <v>2158</v>
      </c>
      <c r="H33" s="58">
        <v>2158</v>
      </c>
      <c r="I33" s="66">
        <v>2272</v>
      </c>
      <c r="J33" s="58">
        <v>64</v>
      </c>
      <c r="K33" s="58">
        <v>0</v>
      </c>
      <c r="L33" s="179">
        <v>0</v>
      </c>
      <c r="M33" s="65">
        <v>0</v>
      </c>
      <c r="N33" s="65">
        <v>0</v>
      </c>
      <c r="O33" s="65">
        <f>SUM('Qtr metrics '!AX48:BA48)</f>
        <v>0</v>
      </c>
    </row>
    <row r="34" spans="1:15" ht="12.75">
      <c r="A34" s="2" t="s">
        <v>31</v>
      </c>
      <c r="B34" s="16"/>
      <c r="C34" s="66">
        <v>2226</v>
      </c>
      <c r="D34" s="58">
        <v>7319</v>
      </c>
      <c r="E34" s="58">
        <v>495</v>
      </c>
      <c r="F34" s="58">
        <v>0</v>
      </c>
      <c r="G34" s="58">
        <v>0</v>
      </c>
      <c r="H34" s="58">
        <v>0</v>
      </c>
      <c r="I34" s="66">
        <v>0</v>
      </c>
      <c r="J34" s="58">
        <v>0</v>
      </c>
      <c r="K34" s="58">
        <v>0</v>
      </c>
      <c r="L34" s="179">
        <v>0</v>
      </c>
      <c r="M34" s="65">
        <v>0</v>
      </c>
      <c r="N34" s="65">
        <v>0</v>
      </c>
      <c r="O34" s="65">
        <f>SUM('Qtr metrics '!AX49:BA49)</f>
        <v>0</v>
      </c>
    </row>
    <row r="35" spans="1:15" ht="13.5" thickBot="1">
      <c r="A35" s="2" t="s">
        <v>29</v>
      </c>
      <c r="B35" s="2"/>
      <c r="C35" s="126">
        <f aca="true" t="shared" si="2" ref="C35:H35">SUM(C23:C34)</f>
        <v>28757</v>
      </c>
      <c r="D35" s="59">
        <f t="shared" si="2"/>
        <v>61421</v>
      </c>
      <c r="E35" s="59">
        <f t="shared" si="2"/>
        <v>80959</v>
      </c>
      <c r="F35" s="59">
        <f t="shared" si="2"/>
        <v>55702</v>
      </c>
      <c r="G35" s="59">
        <f t="shared" si="2"/>
        <v>93038</v>
      </c>
      <c r="H35" s="59">
        <f t="shared" si="2"/>
        <v>96017</v>
      </c>
      <c r="I35" s="126">
        <f aca="true" t="shared" si="3" ref="I35:N35">SUM(I23:I34)</f>
        <v>102516</v>
      </c>
      <c r="J35" s="59">
        <f t="shared" si="3"/>
        <v>90936</v>
      </c>
      <c r="K35" s="59">
        <f t="shared" si="3"/>
        <v>90554</v>
      </c>
      <c r="L35" s="180">
        <f t="shared" si="3"/>
        <v>101868</v>
      </c>
      <c r="M35" s="181">
        <f t="shared" si="3"/>
        <v>115614</v>
      </c>
      <c r="N35" s="181">
        <f t="shared" si="3"/>
        <v>113843</v>
      </c>
      <c r="O35" s="181">
        <f>SUM(O23:O34)</f>
        <v>89272</v>
      </c>
    </row>
    <row r="36" spans="3:13" s="19" customFormat="1" ht="12.75">
      <c r="C36" s="66"/>
      <c r="D36" s="66"/>
      <c r="E36" s="66"/>
      <c r="F36" s="66"/>
      <c r="G36" s="66"/>
      <c r="M36" s="65"/>
    </row>
    <row r="37" spans="1:15" ht="12.75">
      <c r="A37" s="13" t="s">
        <v>79</v>
      </c>
      <c r="B37" s="13"/>
      <c r="C37" s="66"/>
      <c r="D37" s="58"/>
      <c r="E37" s="58"/>
      <c r="F37" s="58"/>
      <c r="G37" s="58"/>
      <c r="M37" s="65"/>
      <c r="N37" s="19"/>
      <c r="O37" s="19"/>
    </row>
    <row r="38" spans="1:15" ht="12.75">
      <c r="A38" s="2" t="s">
        <v>103</v>
      </c>
      <c r="B38" s="13"/>
      <c r="C38" s="127">
        <v>422</v>
      </c>
      <c r="D38" s="73">
        <v>567.5</v>
      </c>
      <c r="E38" s="73">
        <v>575</v>
      </c>
      <c r="F38" s="73">
        <v>512.5</v>
      </c>
      <c r="G38" s="73">
        <v>545</v>
      </c>
      <c r="H38" s="73">
        <v>555</v>
      </c>
      <c r="I38" s="127">
        <v>558</v>
      </c>
      <c r="J38" s="73">
        <v>573</v>
      </c>
      <c r="K38" s="73">
        <v>579</v>
      </c>
      <c r="L38" s="73">
        <v>570</v>
      </c>
      <c r="M38" s="195">
        <v>562.5</v>
      </c>
      <c r="N38" s="195">
        <v>565</v>
      </c>
      <c r="O38" s="195">
        <v>582.4</v>
      </c>
    </row>
    <row r="39" spans="1:15" ht="12.75">
      <c r="A39" s="2" t="s">
        <v>104</v>
      </c>
      <c r="B39" s="13"/>
      <c r="C39" s="127">
        <v>91</v>
      </c>
      <c r="D39" s="73">
        <v>148</v>
      </c>
      <c r="E39" s="73">
        <v>148</v>
      </c>
      <c r="F39" s="73">
        <v>119.5</v>
      </c>
      <c r="G39" s="73">
        <v>119.7</v>
      </c>
      <c r="H39" s="73">
        <v>126</v>
      </c>
      <c r="I39" s="127">
        <v>128</v>
      </c>
      <c r="J39" s="73">
        <v>133</v>
      </c>
      <c r="K39" s="73">
        <v>134.2</v>
      </c>
      <c r="L39" s="73">
        <v>136</v>
      </c>
      <c r="M39" s="195">
        <v>139</v>
      </c>
      <c r="N39" s="195">
        <v>139</v>
      </c>
      <c r="O39" s="195" t="s">
        <v>82</v>
      </c>
    </row>
    <row r="40" spans="1:15" ht="12.75">
      <c r="A40" s="2" t="s">
        <v>105</v>
      </c>
      <c r="B40" s="13"/>
      <c r="C40" s="127">
        <v>0</v>
      </c>
      <c r="D40" s="73">
        <v>374.4</v>
      </c>
      <c r="E40" s="73">
        <v>310</v>
      </c>
      <c r="F40" s="73">
        <v>283</v>
      </c>
      <c r="G40" s="73">
        <v>283</v>
      </c>
      <c r="H40" s="73">
        <v>285</v>
      </c>
      <c r="I40" s="127">
        <v>0</v>
      </c>
      <c r="J40" s="73">
        <v>0</v>
      </c>
      <c r="K40" s="73">
        <v>0</v>
      </c>
      <c r="L40" s="73">
        <v>0</v>
      </c>
      <c r="M40" s="73">
        <v>0</v>
      </c>
      <c r="N40" s="73">
        <v>0</v>
      </c>
      <c r="O40" s="127">
        <v>0</v>
      </c>
    </row>
    <row r="41" spans="1:15" ht="12.75">
      <c r="A41" s="2" t="s">
        <v>106</v>
      </c>
      <c r="B41" s="13"/>
      <c r="C41" s="127">
        <v>0</v>
      </c>
      <c r="D41" s="73">
        <v>0</v>
      </c>
      <c r="E41" s="73">
        <v>0</v>
      </c>
      <c r="F41" s="73">
        <v>345</v>
      </c>
      <c r="G41" s="73">
        <v>351.2</v>
      </c>
      <c r="H41" s="73">
        <v>359</v>
      </c>
      <c r="I41" s="127">
        <v>390</v>
      </c>
      <c r="J41" s="73">
        <v>465</v>
      </c>
      <c r="K41" s="73">
        <v>503</v>
      </c>
      <c r="L41" s="73">
        <v>503</v>
      </c>
      <c r="M41" s="195">
        <v>508</v>
      </c>
      <c r="N41" s="195">
        <v>508</v>
      </c>
      <c r="O41" s="195">
        <v>558</v>
      </c>
    </row>
    <row r="42" spans="1:15" ht="12.75">
      <c r="A42" s="2" t="s">
        <v>107</v>
      </c>
      <c r="B42" s="13"/>
      <c r="C42" s="127">
        <v>310.6</v>
      </c>
      <c r="D42" s="73">
        <v>411</v>
      </c>
      <c r="E42" s="73">
        <v>284.8</v>
      </c>
      <c r="F42" s="73">
        <v>349</v>
      </c>
      <c r="G42" s="73">
        <v>360.2</v>
      </c>
      <c r="H42" s="73">
        <v>373.4</v>
      </c>
      <c r="I42" s="127">
        <v>426.8</v>
      </c>
      <c r="J42" s="73">
        <v>408</v>
      </c>
      <c r="K42" s="73">
        <v>375.4</v>
      </c>
      <c r="L42" s="73">
        <v>290.3</v>
      </c>
      <c r="M42" s="195">
        <v>276.1</v>
      </c>
      <c r="N42" s="195">
        <v>289.8</v>
      </c>
      <c r="O42" s="195">
        <v>288.2</v>
      </c>
    </row>
    <row r="43" spans="1:15" ht="12.75">
      <c r="A43" s="2" t="s">
        <v>319</v>
      </c>
      <c r="B43" s="13"/>
      <c r="C43" s="127">
        <v>0</v>
      </c>
      <c r="D43" s="73">
        <v>137.9</v>
      </c>
      <c r="E43" s="73">
        <v>92</v>
      </c>
      <c r="F43" s="73">
        <v>108.1</v>
      </c>
      <c r="G43" s="73">
        <v>112.8</v>
      </c>
      <c r="H43" s="73">
        <v>121.3</v>
      </c>
      <c r="I43" s="127">
        <f>254.8</f>
        <v>254.8</v>
      </c>
      <c r="J43" s="73">
        <v>232.4</v>
      </c>
      <c r="K43" s="73">
        <v>233.2</v>
      </c>
      <c r="L43" s="73">
        <v>215.2</v>
      </c>
      <c r="M43" s="196">
        <v>237</v>
      </c>
      <c r="N43" s="195">
        <f>265.9</f>
        <v>265.9</v>
      </c>
      <c r="O43" s="195">
        <v>249.6</v>
      </c>
    </row>
    <row r="44" spans="1:15" ht="12.75">
      <c r="A44" s="2" t="s">
        <v>180</v>
      </c>
      <c r="B44" s="13"/>
      <c r="C44" s="127">
        <v>0</v>
      </c>
      <c r="D44" s="127">
        <v>0</v>
      </c>
      <c r="E44" s="127">
        <v>0</v>
      </c>
      <c r="F44" s="127">
        <v>0</v>
      </c>
      <c r="G44" s="127">
        <v>0</v>
      </c>
      <c r="H44" s="127">
        <v>0</v>
      </c>
      <c r="I44" s="127">
        <v>0</v>
      </c>
      <c r="J44" s="127">
        <v>0</v>
      </c>
      <c r="K44" s="127">
        <v>0</v>
      </c>
      <c r="L44" s="73">
        <v>240.3</v>
      </c>
      <c r="M44" s="196">
        <v>266.7</v>
      </c>
      <c r="N44" s="195">
        <v>303.1</v>
      </c>
      <c r="O44" s="195">
        <v>299.1</v>
      </c>
    </row>
    <row r="45" spans="1:15" ht="12.75">
      <c r="A45" s="2" t="s">
        <v>138</v>
      </c>
      <c r="B45" s="13"/>
      <c r="C45" s="127">
        <v>0</v>
      </c>
      <c r="D45" s="73">
        <v>84.7</v>
      </c>
      <c r="E45" s="73">
        <v>72.5</v>
      </c>
      <c r="F45" s="73">
        <v>54.6</v>
      </c>
      <c r="G45" s="73">
        <v>48.9</v>
      </c>
      <c r="H45" s="73">
        <v>0</v>
      </c>
      <c r="I45" s="127">
        <v>0</v>
      </c>
      <c r="J45" s="73">
        <v>0</v>
      </c>
      <c r="K45" s="73">
        <v>0</v>
      </c>
      <c r="L45" s="73">
        <v>0</v>
      </c>
      <c r="M45" s="73">
        <v>0</v>
      </c>
      <c r="N45" s="73">
        <v>0</v>
      </c>
      <c r="O45" s="73">
        <v>0</v>
      </c>
    </row>
    <row r="46" spans="1:15" ht="12.75">
      <c r="A46" s="2" t="s">
        <v>109</v>
      </c>
      <c r="B46" s="13"/>
      <c r="C46" s="127">
        <v>0</v>
      </c>
      <c r="D46" s="73">
        <v>87</v>
      </c>
      <c r="E46" s="73">
        <v>102</v>
      </c>
      <c r="F46" s="73">
        <v>83.8</v>
      </c>
      <c r="G46" s="73">
        <v>74.2</v>
      </c>
      <c r="H46" s="73">
        <v>62.7</v>
      </c>
      <c r="I46" s="127">
        <v>43.1</v>
      </c>
      <c r="J46" s="73">
        <v>0</v>
      </c>
      <c r="K46" s="73">
        <v>0</v>
      </c>
      <c r="L46" s="73">
        <v>0</v>
      </c>
      <c r="M46" s="73">
        <v>0</v>
      </c>
      <c r="N46" s="73">
        <v>0</v>
      </c>
      <c r="O46" s="73">
        <v>0</v>
      </c>
    </row>
    <row r="47" spans="1:15" ht="12.75">
      <c r="A47" s="2" t="s">
        <v>110</v>
      </c>
      <c r="C47" s="127">
        <v>0</v>
      </c>
      <c r="D47" s="73">
        <v>26</v>
      </c>
      <c r="E47" s="73">
        <v>29.6</v>
      </c>
      <c r="F47" s="73">
        <v>23.9</v>
      </c>
      <c r="G47" s="73">
        <v>22.4</v>
      </c>
      <c r="H47" s="73">
        <v>22.1</v>
      </c>
      <c r="I47" s="127">
        <v>20.9</v>
      </c>
      <c r="J47" s="73">
        <v>0</v>
      </c>
      <c r="K47" s="73">
        <v>0</v>
      </c>
      <c r="L47" s="73">
        <v>0</v>
      </c>
      <c r="M47" s="73">
        <v>0</v>
      </c>
      <c r="N47" s="73">
        <v>0</v>
      </c>
      <c r="O47" s="73">
        <v>0</v>
      </c>
    </row>
    <row r="48" spans="1:15" ht="12.75">
      <c r="A48" s="2" t="s">
        <v>111</v>
      </c>
      <c r="C48" s="127">
        <v>0</v>
      </c>
      <c r="D48" s="73">
        <v>39.6</v>
      </c>
      <c r="E48" s="73">
        <v>45</v>
      </c>
      <c r="F48" s="73">
        <v>39.5</v>
      </c>
      <c r="G48" s="73">
        <v>37.9</v>
      </c>
      <c r="H48" s="73">
        <v>37.5</v>
      </c>
      <c r="I48" s="127">
        <v>30.4</v>
      </c>
      <c r="J48" s="73">
        <v>0</v>
      </c>
      <c r="K48" s="73">
        <v>0</v>
      </c>
      <c r="L48" s="73">
        <v>0</v>
      </c>
      <c r="M48" s="73">
        <v>0</v>
      </c>
      <c r="N48" s="73">
        <v>0</v>
      </c>
      <c r="O48" s="73">
        <v>0</v>
      </c>
    </row>
    <row r="49" spans="1:15" ht="12.75">
      <c r="A49" s="2" t="s">
        <v>31</v>
      </c>
      <c r="C49" s="73"/>
      <c r="D49" s="73">
        <v>75.1</v>
      </c>
      <c r="E49" s="73">
        <v>26.3</v>
      </c>
      <c r="F49" s="73">
        <v>26.1</v>
      </c>
      <c r="G49" s="73">
        <v>29.9</v>
      </c>
      <c r="H49" s="73">
        <v>0</v>
      </c>
      <c r="I49" s="127">
        <v>0</v>
      </c>
      <c r="J49" s="73">
        <v>0</v>
      </c>
      <c r="K49" s="73">
        <v>0</v>
      </c>
      <c r="L49" s="73">
        <v>0</v>
      </c>
      <c r="M49" s="73">
        <v>0</v>
      </c>
      <c r="N49" s="73">
        <v>0</v>
      </c>
      <c r="O49" s="73">
        <v>0</v>
      </c>
    </row>
    <row r="50" spans="1:15" ht="12.75">
      <c r="A50" s="2" t="s">
        <v>253</v>
      </c>
      <c r="C50" s="73"/>
      <c r="D50" s="73"/>
      <c r="E50" s="73"/>
      <c r="F50" s="73"/>
      <c r="G50" s="73"/>
      <c r="H50" s="73"/>
      <c r="I50" s="127"/>
      <c r="J50" s="73"/>
      <c r="K50" s="73"/>
      <c r="L50" s="73"/>
      <c r="M50" s="73"/>
      <c r="N50" s="73"/>
      <c r="O50" s="73">
        <v>156.2</v>
      </c>
    </row>
    <row r="51" spans="1:15" ht="13.5" thickBot="1">
      <c r="A51" s="2" t="s">
        <v>29</v>
      </c>
      <c r="C51" s="74">
        <f aca="true" t="shared" si="4" ref="C51:H51">SUM(C38:C49)</f>
        <v>823.6</v>
      </c>
      <c r="D51" s="74">
        <f t="shared" si="4"/>
        <v>1951.2</v>
      </c>
      <c r="E51" s="74">
        <f t="shared" si="4"/>
        <v>1685.1999999999998</v>
      </c>
      <c r="F51" s="74">
        <f t="shared" si="4"/>
        <v>1944.9999999999998</v>
      </c>
      <c r="G51" s="74">
        <f t="shared" si="4"/>
        <v>1985.2000000000005</v>
      </c>
      <c r="H51" s="74">
        <f t="shared" si="4"/>
        <v>1942</v>
      </c>
      <c r="I51" s="178">
        <f>SUM(I38:I49)</f>
        <v>1852</v>
      </c>
      <c r="J51" s="178">
        <f aca="true" t="shared" si="5" ref="J51:O51">SUM(J38:J50)+0.1</f>
        <v>1811.5</v>
      </c>
      <c r="K51" s="178">
        <f t="shared" si="5"/>
        <v>1824.8999999999999</v>
      </c>
      <c r="L51" s="178">
        <f t="shared" si="5"/>
        <v>1954.8999999999999</v>
      </c>
      <c r="M51" s="178">
        <f t="shared" si="5"/>
        <v>1989.3999999999999</v>
      </c>
      <c r="N51" s="178">
        <f t="shared" si="5"/>
        <v>2070.8999999999996</v>
      </c>
      <c r="O51" s="178">
        <f t="shared" si="5"/>
        <v>2133.6</v>
      </c>
    </row>
    <row r="52" spans="3:12" s="72" customFormat="1" ht="11.25">
      <c r="C52" s="75"/>
      <c r="D52" s="75"/>
      <c r="E52" s="75"/>
      <c r="F52" s="75"/>
      <c r="G52" s="75"/>
      <c r="I52" s="168"/>
      <c r="L52" s="113"/>
    </row>
    <row r="53" spans="1:15" s="19" customFormat="1" ht="14.25">
      <c r="A53" s="108" t="s">
        <v>136</v>
      </c>
      <c r="B53" s="108"/>
      <c r="C53" s="109">
        <v>4.1499999999999995</v>
      </c>
      <c r="D53" s="109">
        <v>8.05</v>
      </c>
      <c r="E53" s="109">
        <v>7.65</v>
      </c>
      <c r="F53" s="109">
        <v>2.8000000000000003</v>
      </c>
      <c r="G53" s="109">
        <v>5.6000000000000005</v>
      </c>
      <c r="H53" s="109">
        <v>5.75</v>
      </c>
      <c r="I53" s="109">
        <v>6.69</v>
      </c>
      <c r="J53" s="109">
        <v>7.83</v>
      </c>
      <c r="K53" s="109">
        <v>8.51</v>
      </c>
      <c r="L53" s="109">
        <v>9.71</v>
      </c>
      <c r="M53" s="192">
        <v>9.82</v>
      </c>
      <c r="N53" s="192">
        <v>9.82</v>
      </c>
      <c r="O53" s="192">
        <v>9.6</v>
      </c>
    </row>
    <row r="54" spans="3:15" s="19" customFormat="1" ht="12.75">
      <c r="C54" s="66">
        <v>0</v>
      </c>
      <c r="D54" s="66">
        <v>0</v>
      </c>
      <c r="E54" s="66">
        <v>0</v>
      </c>
      <c r="F54" s="66">
        <v>0</v>
      </c>
      <c r="G54" s="66">
        <v>0</v>
      </c>
      <c r="H54" s="109">
        <v>0</v>
      </c>
      <c r="I54" s="109">
        <v>0</v>
      </c>
      <c r="J54" s="109">
        <v>0</v>
      </c>
      <c r="K54" s="109">
        <v>0</v>
      </c>
      <c r="L54" s="116"/>
      <c r="M54" s="192"/>
      <c r="N54" s="192"/>
      <c r="O54" s="192"/>
    </row>
    <row r="55" spans="1:15" ht="14.25">
      <c r="A55" s="13" t="s">
        <v>137</v>
      </c>
      <c r="B55" s="13"/>
      <c r="C55" s="56">
        <v>1.05</v>
      </c>
      <c r="D55" s="56">
        <v>1.75</v>
      </c>
      <c r="E55" s="56">
        <v>1.2</v>
      </c>
      <c r="F55" s="56">
        <v>1.35</v>
      </c>
      <c r="G55" s="56">
        <v>1.34</v>
      </c>
      <c r="H55" s="109">
        <v>1.34</v>
      </c>
      <c r="I55" s="109">
        <v>1.5</v>
      </c>
      <c r="J55" s="109">
        <v>1.57</v>
      </c>
      <c r="K55" s="109">
        <v>1.59</v>
      </c>
      <c r="L55" s="109">
        <v>1.53</v>
      </c>
      <c r="M55" s="193">
        <v>1.52</v>
      </c>
      <c r="N55" s="193">
        <v>1.58</v>
      </c>
      <c r="O55" s="193">
        <v>1.59</v>
      </c>
    </row>
    <row r="56" spans="1:12" ht="12.75">
      <c r="A56" s="13"/>
      <c r="B56" s="13"/>
      <c r="C56" s="56"/>
      <c r="D56" s="56"/>
      <c r="E56" s="56"/>
      <c r="F56" s="56"/>
      <c r="G56" s="56"/>
      <c r="I56" s="160"/>
      <c r="J56" s="112"/>
      <c r="K56" s="112"/>
      <c r="L56" s="115"/>
    </row>
    <row r="57" spans="1:12" ht="12.75">
      <c r="A57" s="13" t="s">
        <v>78</v>
      </c>
      <c r="B57" s="13"/>
      <c r="C57" s="56"/>
      <c r="D57" s="56"/>
      <c r="E57" s="56"/>
      <c r="F57" s="56"/>
      <c r="G57" s="56"/>
      <c r="I57" s="161"/>
      <c r="J57" s="115"/>
      <c r="K57" s="115"/>
      <c r="L57" s="116"/>
    </row>
    <row r="58" spans="1:15" ht="15">
      <c r="A58" s="2" t="s">
        <v>103</v>
      </c>
      <c r="B58" s="52"/>
      <c r="C58" s="87">
        <v>1</v>
      </c>
      <c r="D58" s="87">
        <v>1</v>
      </c>
      <c r="E58" s="87">
        <v>1</v>
      </c>
      <c r="F58" s="87">
        <v>1</v>
      </c>
      <c r="G58" s="130">
        <v>1</v>
      </c>
      <c r="H58" s="130">
        <v>1</v>
      </c>
      <c r="I58" s="130" t="s">
        <v>170</v>
      </c>
      <c r="J58" s="130">
        <v>0.94</v>
      </c>
      <c r="K58" s="130">
        <v>0.99</v>
      </c>
      <c r="L58" s="130" t="s">
        <v>181</v>
      </c>
      <c r="M58" s="130" t="s">
        <v>189</v>
      </c>
      <c r="N58" s="130" t="s">
        <v>226</v>
      </c>
      <c r="O58" s="130" t="s">
        <v>293</v>
      </c>
    </row>
    <row r="59" spans="1:15" ht="15">
      <c r="A59" s="2" t="s">
        <v>104</v>
      </c>
      <c r="B59" s="52"/>
      <c r="C59" s="87" t="s">
        <v>82</v>
      </c>
      <c r="D59" s="87">
        <v>1</v>
      </c>
      <c r="E59" s="87">
        <v>1</v>
      </c>
      <c r="F59" s="87">
        <v>0.931</v>
      </c>
      <c r="G59" s="130">
        <v>0.830575933655993</v>
      </c>
      <c r="H59" s="130">
        <v>0.9582021661651111</v>
      </c>
      <c r="I59" s="130">
        <v>0.9016028495102404</v>
      </c>
      <c r="J59" s="130">
        <v>1</v>
      </c>
      <c r="K59" s="130" t="s">
        <v>161</v>
      </c>
      <c r="L59" s="130">
        <v>0.96</v>
      </c>
      <c r="M59" s="130">
        <v>0.92</v>
      </c>
      <c r="N59" s="130" t="s">
        <v>227</v>
      </c>
      <c r="O59" s="130" t="s">
        <v>82</v>
      </c>
    </row>
    <row r="60" spans="1:15" ht="12.75">
      <c r="A60" s="2" t="s">
        <v>105</v>
      </c>
      <c r="B60" s="52"/>
      <c r="C60" s="87" t="s">
        <v>82</v>
      </c>
      <c r="D60" s="87">
        <v>0.949</v>
      </c>
      <c r="E60" s="87">
        <v>0.752</v>
      </c>
      <c r="F60" s="87">
        <v>0.713</v>
      </c>
      <c r="G60" s="130">
        <v>0.8108510222976067</v>
      </c>
      <c r="H60" s="130">
        <v>0.8842209445294528</v>
      </c>
      <c r="I60" s="130" t="s">
        <v>82</v>
      </c>
      <c r="J60" s="130" t="s">
        <v>82</v>
      </c>
      <c r="K60" s="130" t="s">
        <v>82</v>
      </c>
      <c r="L60" s="130" t="s">
        <v>82</v>
      </c>
      <c r="M60" s="130" t="s">
        <v>82</v>
      </c>
      <c r="N60" s="130" t="s">
        <v>82</v>
      </c>
      <c r="O60" s="130" t="s">
        <v>82</v>
      </c>
    </row>
    <row r="61" spans="1:15" ht="15">
      <c r="A61" s="2" t="s">
        <v>106</v>
      </c>
      <c r="B61" s="52"/>
      <c r="C61" s="87" t="s">
        <v>82</v>
      </c>
      <c r="D61" s="87" t="s">
        <v>82</v>
      </c>
      <c r="E61" s="87" t="s">
        <v>82</v>
      </c>
      <c r="F61" s="87">
        <v>1</v>
      </c>
      <c r="G61" s="130">
        <v>0.9999996185918909</v>
      </c>
      <c r="H61" s="130">
        <v>1</v>
      </c>
      <c r="I61" s="130">
        <v>1</v>
      </c>
      <c r="J61" s="130">
        <v>1</v>
      </c>
      <c r="K61" s="130" t="s">
        <v>171</v>
      </c>
      <c r="L61" s="130">
        <v>0.95</v>
      </c>
      <c r="M61" s="130">
        <v>0.95</v>
      </c>
      <c r="N61" s="130" t="s">
        <v>228</v>
      </c>
      <c r="O61" s="130" t="s">
        <v>292</v>
      </c>
    </row>
    <row r="62" spans="1:15" ht="15">
      <c r="A62" s="2" t="s">
        <v>107</v>
      </c>
      <c r="B62" s="52"/>
      <c r="C62" s="87">
        <v>1</v>
      </c>
      <c r="D62" s="87">
        <v>0.999</v>
      </c>
      <c r="E62" s="87">
        <v>1</v>
      </c>
      <c r="F62" s="87">
        <v>0.94</v>
      </c>
      <c r="G62" s="130">
        <v>0.9800679581676105</v>
      </c>
      <c r="H62" s="130">
        <v>0.9967521584644969</v>
      </c>
      <c r="I62" s="130">
        <v>0.9642932321566297</v>
      </c>
      <c r="J62" s="130">
        <v>0.94</v>
      </c>
      <c r="K62" s="130">
        <v>0.89</v>
      </c>
      <c r="L62" s="130">
        <v>0.89</v>
      </c>
      <c r="M62" s="130">
        <v>0.8</v>
      </c>
      <c r="N62" s="130" t="s">
        <v>229</v>
      </c>
      <c r="O62" s="130" t="s">
        <v>291</v>
      </c>
    </row>
    <row r="63" spans="1:15" ht="12.75">
      <c r="A63" s="2" t="s">
        <v>319</v>
      </c>
      <c r="B63" s="52"/>
      <c r="C63" s="87" t="s">
        <v>82</v>
      </c>
      <c r="D63" s="87">
        <v>1</v>
      </c>
      <c r="E63" s="87">
        <v>1</v>
      </c>
      <c r="F63" s="87">
        <v>1</v>
      </c>
      <c r="G63" s="130">
        <v>1</v>
      </c>
      <c r="H63" s="130">
        <v>1</v>
      </c>
      <c r="I63" s="130">
        <v>1</v>
      </c>
      <c r="J63" s="130">
        <v>1</v>
      </c>
      <c r="K63" s="130">
        <v>1</v>
      </c>
      <c r="L63" s="130">
        <v>1</v>
      </c>
      <c r="M63" s="130">
        <v>1</v>
      </c>
      <c r="N63" s="130">
        <v>1</v>
      </c>
      <c r="O63" s="130">
        <v>1</v>
      </c>
    </row>
    <row r="64" spans="1:15" ht="12.75">
      <c r="A64" s="2" t="s">
        <v>180</v>
      </c>
      <c r="B64" s="52"/>
      <c r="C64" s="130" t="s">
        <v>82</v>
      </c>
      <c r="D64" s="130" t="s">
        <v>82</v>
      </c>
      <c r="E64" s="130" t="s">
        <v>82</v>
      </c>
      <c r="F64" s="130" t="s">
        <v>82</v>
      </c>
      <c r="G64" s="130" t="s">
        <v>82</v>
      </c>
      <c r="H64" s="130" t="s">
        <v>82</v>
      </c>
      <c r="I64" s="130" t="s">
        <v>82</v>
      </c>
      <c r="J64" s="130" t="s">
        <v>82</v>
      </c>
      <c r="K64" s="130" t="s">
        <v>82</v>
      </c>
      <c r="L64" s="130">
        <v>0.98</v>
      </c>
      <c r="M64" s="130">
        <v>1</v>
      </c>
      <c r="N64" s="130">
        <v>1</v>
      </c>
      <c r="O64" s="130">
        <v>0.95</v>
      </c>
    </row>
    <row r="65" spans="1:15" ht="12.75">
      <c r="A65" s="2" t="s">
        <v>138</v>
      </c>
      <c r="B65" s="52"/>
      <c r="C65" s="87" t="s">
        <v>82</v>
      </c>
      <c r="D65" s="87">
        <v>1</v>
      </c>
      <c r="E65" s="87">
        <v>0.953</v>
      </c>
      <c r="F65" s="87">
        <v>0.622</v>
      </c>
      <c r="G65" s="130">
        <v>0.25626518845597934</v>
      </c>
      <c r="H65" s="130" t="s">
        <v>82</v>
      </c>
      <c r="I65" s="130" t="s">
        <v>82</v>
      </c>
      <c r="J65" s="130" t="s">
        <v>82</v>
      </c>
      <c r="K65" s="130" t="s">
        <v>82</v>
      </c>
      <c r="L65" s="130" t="s">
        <v>82</v>
      </c>
      <c r="M65" s="130" t="s">
        <v>82</v>
      </c>
      <c r="N65" s="130" t="s">
        <v>82</v>
      </c>
      <c r="O65" s="130" t="s">
        <v>82</v>
      </c>
    </row>
    <row r="66" spans="1:15" ht="12.75">
      <c r="A66" s="2" t="s">
        <v>109</v>
      </c>
      <c r="B66" s="52"/>
      <c r="C66" s="87" t="s">
        <v>82</v>
      </c>
      <c r="D66" s="87">
        <v>0.947</v>
      </c>
      <c r="E66" s="87">
        <v>0.948</v>
      </c>
      <c r="F66" s="87">
        <v>0.921</v>
      </c>
      <c r="G66" s="130">
        <v>0.8941936854191347</v>
      </c>
      <c r="H66" s="130">
        <v>0.8941936854191348</v>
      </c>
      <c r="I66" s="130">
        <v>0.6628142252230618</v>
      </c>
      <c r="J66" s="130" t="s">
        <v>82</v>
      </c>
      <c r="K66" s="130" t="s">
        <v>82</v>
      </c>
      <c r="L66" s="130" t="s">
        <v>82</v>
      </c>
      <c r="M66" s="130" t="s">
        <v>82</v>
      </c>
      <c r="N66" s="130" t="s">
        <v>82</v>
      </c>
      <c r="O66" s="130" t="s">
        <v>82</v>
      </c>
    </row>
    <row r="67" spans="1:15" ht="12.75">
      <c r="A67" s="2" t="s">
        <v>110</v>
      </c>
      <c r="B67" s="52"/>
      <c r="C67" s="87" t="s">
        <v>82</v>
      </c>
      <c r="D67" s="87">
        <v>1</v>
      </c>
      <c r="E67" s="87">
        <v>1</v>
      </c>
      <c r="F67" s="87">
        <v>1</v>
      </c>
      <c r="G67" s="130">
        <v>1</v>
      </c>
      <c r="H67" s="130">
        <v>1</v>
      </c>
      <c r="I67" s="130">
        <v>0.9999999999999999</v>
      </c>
      <c r="J67" s="130" t="s">
        <v>82</v>
      </c>
      <c r="K67" s="130" t="s">
        <v>82</v>
      </c>
      <c r="L67" s="130" t="s">
        <v>82</v>
      </c>
      <c r="M67" s="130" t="s">
        <v>82</v>
      </c>
      <c r="N67" s="130" t="s">
        <v>82</v>
      </c>
      <c r="O67" s="130" t="s">
        <v>82</v>
      </c>
    </row>
    <row r="68" spans="1:15" ht="12.75">
      <c r="A68" s="2" t="s">
        <v>111</v>
      </c>
      <c r="B68" s="52"/>
      <c r="C68" s="87" t="s">
        <v>82</v>
      </c>
      <c r="D68" s="87">
        <v>1</v>
      </c>
      <c r="E68" s="87">
        <v>1</v>
      </c>
      <c r="F68" s="87">
        <v>1</v>
      </c>
      <c r="G68" s="130">
        <v>1</v>
      </c>
      <c r="H68" s="130">
        <v>1</v>
      </c>
      <c r="I68" s="130">
        <v>1</v>
      </c>
      <c r="J68" s="130" t="s">
        <v>82</v>
      </c>
      <c r="K68" s="130" t="s">
        <v>82</v>
      </c>
      <c r="L68" s="130" t="s">
        <v>82</v>
      </c>
      <c r="M68" s="130" t="s">
        <v>82</v>
      </c>
      <c r="N68" s="130" t="s">
        <v>82</v>
      </c>
      <c r="O68" s="130" t="s">
        <v>82</v>
      </c>
    </row>
    <row r="69" spans="1:15" ht="12.75">
      <c r="A69" s="2" t="s">
        <v>253</v>
      </c>
      <c r="B69" s="52"/>
      <c r="C69" s="87"/>
      <c r="D69" s="87"/>
      <c r="E69" s="87"/>
      <c r="F69" s="87"/>
      <c r="G69" s="130"/>
      <c r="H69" s="130"/>
      <c r="I69" s="130"/>
      <c r="J69" s="130"/>
      <c r="K69" s="130"/>
      <c r="L69" s="130"/>
      <c r="N69" s="228"/>
      <c r="O69" s="235">
        <v>0.981</v>
      </c>
    </row>
    <row r="70" spans="1:15" ht="15">
      <c r="A70" s="88" t="s">
        <v>42</v>
      </c>
      <c r="B70" s="88"/>
      <c r="C70" s="91">
        <v>1</v>
      </c>
      <c r="D70" s="91">
        <v>0.979</v>
      </c>
      <c r="E70" s="91">
        <v>0.898</v>
      </c>
      <c r="F70" s="91">
        <v>0.948</v>
      </c>
      <c r="G70" s="131">
        <v>0.9606095296729271</v>
      </c>
      <c r="H70" s="131">
        <v>0.9783793135072377</v>
      </c>
      <c r="I70" s="131">
        <v>0.9310180521512725</v>
      </c>
      <c r="J70" s="131">
        <v>0.984</v>
      </c>
      <c r="K70" s="131">
        <v>0.974</v>
      </c>
      <c r="L70" s="131">
        <v>0.95</v>
      </c>
      <c r="M70" s="131">
        <v>0.93</v>
      </c>
      <c r="N70" s="131" t="s">
        <v>234</v>
      </c>
      <c r="O70" s="131" t="s">
        <v>297</v>
      </c>
    </row>
    <row r="71" spans="1:15" ht="15">
      <c r="A71" s="52" t="s">
        <v>43</v>
      </c>
      <c r="B71" s="52"/>
      <c r="C71" s="87">
        <v>1</v>
      </c>
      <c r="D71" s="87">
        <v>0.999</v>
      </c>
      <c r="E71" s="87">
        <v>1</v>
      </c>
      <c r="F71" s="87">
        <v>0.963</v>
      </c>
      <c r="G71" s="130">
        <v>0.9875988342584998</v>
      </c>
      <c r="H71" s="130">
        <v>0.9979790523567181</v>
      </c>
      <c r="I71" s="130">
        <v>0.9838571752793275</v>
      </c>
      <c r="J71" s="130">
        <v>0.971</v>
      </c>
      <c r="K71" s="130">
        <v>0.949</v>
      </c>
      <c r="L71" s="130">
        <v>0.959</v>
      </c>
      <c r="M71" s="130">
        <v>0.94</v>
      </c>
      <c r="N71" s="130" t="s">
        <v>235</v>
      </c>
      <c r="O71" s="130" t="s">
        <v>296</v>
      </c>
    </row>
    <row r="72" spans="1:15" ht="12.75">
      <c r="A72" s="52" t="s">
        <v>44</v>
      </c>
      <c r="B72" s="52"/>
      <c r="C72" s="87" t="s">
        <v>82</v>
      </c>
      <c r="D72" s="87">
        <v>0.986</v>
      </c>
      <c r="E72" s="87">
        <v>0.959</v>
      </c>
      <c r="F72" s="87">
        <v>0.767</v>
      </c>
      <c r="G72" s="130">
        <v>0.5553440783904551</v>
      </c>
      <c r="H72" s="130">
        <v>0.9355937787316585</v>
      </c>
      <c r="I72" s="130">
        <v>0.7948253274725744</v>
      </c>
      <c r="J72" s="130" t="s">
        <v>82</v>
      </c>
      <c r="K72" s="130" t="s">
        <v>82</v>
      </c>
      <c r="L72" s="130" t="s">
        <v>82</v>
      </c>
      <c r="M72" s="130" t="s">
        <v>82</v>
      </c>
      <c r="N72" s="130" t="s">
        <v>82</v>
      </c>
      <c r="O72" s="130" t="s">
        <v>82</v>
      </c>
    </row>
    <row r="73" spans="1:15" ht="15">
      <c r="A73" s="52" t="s">
        <v>294</v>
      </c>
      <c r="B73" s="52"/>
      <c r="C73" s="87"/>
      <c r="D73" s="87"/>
      <c r="E73" s="87"/>
      <c r="F73" s="87"/>
      <c r="G73" s="130"/>
      <c r="H73" s="130"/>
      <c r="I73" s="130"/>
      <c r="J73" s="130"/>
      <c r="K73" s="130"/>
      <c r="L73" s="130"/>
      <c r="M73" s="130"/>
      <c r="N73" s="130"/>
      <c r="O73" s="130" t="s">
        <v>295</v>
      </c>
    </row>
    <row r="74" spans="1:15" ht="15.75" thickBot="1">
      <c r="A74" s="92" t="s">
        <v>29</v>
      </c>
      <c r="B74" s="92"/>
      <c r="C74" s="95">
        <v>1</v>
      </c>
      <c r="D74" s="95">
        <v>0.987</v>
      </c>
      <c r="E74" s="95">
        <v>0.946</v>
      </c>
      <c r="F74" s="95">
        <v>0.925</v>
      </c>
      <c r="G74" s="132">
        <v>0.9076520769953529</v>
      </c>
      <c r="H74" s="132">
        <v>0.9797948639702854</v>
      </c>
      <c r="I74" s="132">
        <v>0.9381490560380028</v>
      </c>
      <c r="J74" s="132">
        <v>0.979</v>
      </c>
      <c r="K74" s="132">
        <v>0.965</v>
      </c>
      <c r="L74" s="132">
        <v>0.954</v>
      </c>
      <c r="M74" s="132">
        <v>0.93</v>
      </c>
      <c r="N74" s="132" t="s">
        <v>236</v>
      </c>
      <c r="O74" s="132" t="s">
        <v>298</v>
      </c>
    </row>
    <row r="75" ht="13.5" thickTop="1">
      <c r="O75" s="19"/>
    </row>
    <row r="76" ht="12.75">
      <c r="O76" s="19"/>
    </row>
    <row r="77" spans="1:14" ht="27" customHeight="1">
      <c r="A77" s="165">
        <v>1</v>
      </c>
      <c r="B77" s="254" t="s">
        <v>151</v>
      </c>
      <c r="C77" s="254"/>
      <c r="D77" s="254"/>
      <c r="E77" s="254"/>
      <c r="F77" s="254"/>
      <c r="G77" s="254"/>
      <c r="H77" s="254"/>
      <c r="I77" s="254"/>
      <c r="J77" s="254"/>
      <c r="K77" s="254"/>
      <c r="L77" s="254"/>
      <c r="M77" s="254"/>
      <c r="N77" s="254"/>
    </row>
    <row r="78" spans="1:2" ht="12.75">
      <c r="A78" s="38">
        <v>2</v>
      </c>
      <c r="B78" s="36" t="s">
        <v>149</v>
      </c>
    </row>
    <row r="79" spans="1:2" ht="15" customHeight="1">
      <c r="A79" s="38">
        <v>3</v>
      </c>
      <c r="B79" s="200" t="s">
        <v>19</v>
      </c>
    </row>
    <row r="80" spans="1:14" s="164" customFormat="1" ht="38.25" customHeight="1">
      <c r="A80" s="163">
        <v>4</v>
      </c>
      <c r="B80" s="254" t="s">
        <v>150</v>
      </c>
      <c r="C80" s="254"/>
      <c r="D80" s="254"/>
      <c r="E80" s="254"/>
      <c r="F80" s="254"/>
      <c r="G80" s="254"/>
      <c r="H80" s="254"/>
      <c r="I80" s="254"/>
      <c r="J80" s="254"/>
      <c r="K80" s="254"/>
      <c r="L80" s="254"/>
      <c r="M80" s="254"/>
      <c r="N80" s="254"/>
    </row>
    <row r="81" spans="1:11" ht="12.75" customHeight="1">
      <c r="A81" s="6">
        <v>5</v>
      </c>
      <c r="B81" s="36" t="s">
        <v>157</v>
      </c>
      <c r="C81" s="139"/>
      <c r="D81" s="139"/>
      <c r="E81" s="139"/>
      <c r="F81" s="139"/>
      <c r="G81" s="139"/>
      <c r="H81" s="139"/>
      <c r="I81" s="139"/>
      <c r="J81" s="139"/>
      <c r="K81" s="139"/>
    </row>
    <row r="82" spans="1:11" ht="12.75" customHeight="1">
      <c r="A82" s="6">
        <v>6</v>
      </c>
      <c r="B82" s="36" t="s">
        <v>168</v>
      </c>
      <c r="C82" s="139"/>
      <c r="D82" s="139"/>
      <c r="E82" s="139"/>
      <c r="F82" s="139"/>
      <c r="G82" s="139"/>
      <c r="H82" s="139"/>
      <c r="I82" s="139"/>
      <c r="J82" s="139"/>
      <c r="K82" s="139"/>
    </row>
    <row r="83" spans="1:2" ht="12.75">
      <c r="A83" s="6">
        <v>7</v>
      </c>
      <c r="B83" s="36" t="s">
        <v>169</v>
      </c>
    </row>
    <row r="84" spans="1:2" ht="12.75">
      <c r="A84" s="6">
        <v>8</v>
      </c>
      <c r="B84" s="36" t="s">
        <v>182</v>
      </c>
    </row>
    <row r="85" spans="1:13" ht="33.75" customHeight="1">
      <c r="A85" s="6">
        <v>9</v>
      </c>
      <c r="B85" s="255" t="s">
        <v>230</v>
      </c>
      <c r="C85" s="255"/>
      <c r="D85" s="255"/>
      <c r="E85" s="255"/>
      <c r="F85" s="255"/>
      <c r="G85" s="255"/>
      <c r="H85" s="255"/>
      <c r="I85" s="255"/>
      <c r="J85" s="255"/>
      <c r="K85" s="255"/>
      <c r="L85" s="255"/>
      <c r="M85" s="255"/>
    </row>
    <row r="86" spans="1:13" ht="14.25" customHeight="1">
      <c r="A86" s="164">
        <v>10</v>
      </c>
      <c r="B86" s="254" t="s">
        <v>233</v>
      </c>
      <c r="C86" s="254"/>
      <c r="D86" s="254"/>
      <c r="E86" s="254"/>
      <c r="F86" s="254"/>
      <c r="G86" s="254"/>
      <c r="H86" s="254"/>
      <c r="I86" s="254"/>
      <c r="J86" s="254"/>
      <c r="K86" s="254"/>
      <c r="L86" s="254"/>
      <c r="M86" s="254"/>
    </row>
    <row r="87" spans="1:14" ht="33.75" customHeight="1">
      <c r="A87" s="164">
        <v>11</v>
      </c>
      <c r="B87" s="256" t="s">
        <v>231</v>
      </c>
      <c r="C87" s="256"/>
      <c r="D87" s="256"/>
      <c r="E87" s="256"/>
      <c r="F87" s="256"/>
      <c r="G87" s="256"/>
      <c r="H87" s="256"/>
      <c r="I87" s="256"/>
      <c r="J87" s="256"/>
      <c r="K87" s="256"/>
      <c r="L87" s="256"/>
      <c r="M87" s="256"/>
      <c r="N87" s="256"/>
    </row>
    <row r="88" spans="1:14" ht="33.75" customHeight="1">
      <c r="A88" s="164">
        <v>12</v>
      </c>
      <c r="B88" s="256" t="s">
        <v>232</v>
      </c>
      <c r="C88" s="256"/>
      <c r="D88" s="256"/>
      <c r="E88" s="256"/>
      <c r="F88" s="256"/>
      <c r="G88" s="256"/>
      <c r="H88" s="256"/>
      <c r="I88" s="256"/>
      <c r="J88" s="256"/>
      <c r="K88" s="256"/>
      <c r="L88" s="256"/>
      <c r="M88" s="256"/>
      <c r="N88" s="256"/>
    </row>
    <row r="89" spans="1:13" ht="12.75">
      <c r="A89" s="164"/>
      <c r="B89" s="164"/>
      <c r="C89" s="201"/>
      <c r="D89" s="201"/>
      <c r="E89" s="201"/>
      <c r="F89" s="201"/>
      <c r="G89" s="201"/>
      <c r="H89" s="164"/>
      <c r="I89" s="202"/>
      <c r="J89" s="164"/>
      <c r="K89" s="164"/>
      <c r="L89" s="164"/>
      <c r="M89" s="164"/>
    </row>
  </sheetData>
  <sheetProtection/>
  <mergeCells count="6">
    <mergeCell ref="B85:M85"/>
    <mergeCell ref="B77:N77"/>
    <mergeCell ref="B80:N80"/>
    <mergeCell ref="B87:N87"/>
    <mergeCell ref="B88:N88"/>
    <mergeCell ref="B86:M86"/>
  </mergeCells>
  <printOptions/>
  <pageMargins left="0.5" right="0.5" top="0.5" bottom="0.5" header="0.5" footer="0.5"/>
  <pageSetup fitToHeight="1"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BD96"/>
  <sheetViews>
    <sheetView view="pageBreakPreview" zoomScale="96" zoomScaleNormal="91" zoomScaleSheetLayoutView="96" zoomScalePageLayoutView="0" workbookViewId="0" topLeftCell="A1">
      <pane xSplit="2" ySplit="5" topLeftCell="AT90" activePane="bottomRight" state="frozen"/>
      <selection pane="topLeft" activeCell="A3" sqref="A3:B3"/>
      <selection pane="topRight" activeCell="A3" sqref="A3:B3"/>
      <selection pane="bottomLeft" activeCell="A3" sqref="A3:B3"/>
      <selection pane="bottomRight" activeCell="BD1" sqref="BD1:BD16384"/>
    </sheetView>
  </sheetViews>
  <sheetFormatPr defaultColWidth="10.7109375" defaultRowHeight="12.75" outlineLevelCol="1"/>
  <cols>
    <col min="1" max="1" width="3.421875" style="6" customWidth="1"/>
    <col min="2" max="2" width="16.00390625" style="2" customWidth="1"/>
    <col min="3" max="3" width="10.00390625" style="6" hidden="1" customWidth="1" outlineLevel="1"/>
    <col min="4" max="7" width="11.00390625" style="7" hidden="1" customWidth="1" outlineLevel="1"/>
    <col min="8" max="8" width="11.00390625" style="7" hidden="1" customWidth="1" outlineLevel="1" collapsed="1"/>
    <col min="9" max="10" width="11.00390625" style="7" hidden="1" customWidth="1" outlineLevel="1"/>
    <col min="11" max="11" width="11.00390625" style="6" customWidth="1" collapsed="1"/>
    <col min="12" max="19" width="11.00390625" style="6" customWidth="1"/>
    <col min="20" max="22" width="11.7109375" style="6" customWidth="1"/>
    <col min="23" max="30" width="10.7109375" style="6" customWidth="1"/>
    <col min="31" max="31" width="10.7109375" style="19" customWidth="1"/>
    <col min="32" max="51" width="10.7109375" style="6" customWidth="1"/>
    <col min="52" max="52" width="10.7109375" style="19" customWidth="1"/>
    <col min="53" max="53" width="10.7109375" style="6" customWidth="1"/>
    <col min="54" max="54" width="10.7109375" style="19" customWidth="1"/>
    <col min="55" max="55" width="10.7109375" style="6" customWidth="1"/>
    <col min="56" max="56" width="10.7109375" style="19" customWidth="1"/>
    <col min="57" max="16384" width="10.7109375" style="6" customWidth="1"/>
  </cols>
  <sheetData>
    <row r="1" spans="1:46" ht="16.5">
      <c r="A1" s="22" t="s">
        <v>26</v>
      </c>
      <c r="B1" s="6"/>
      <c r="C1" s="14"/>
      <c r="D1" s="3"/>
      <c r="E1" s="3"/>
      <c r="F1" s="3"/>
      <c r="G1" s="3"/>
      <c r="H1" s="5"/>
      <c r="I1" s="5"/>
      <c r="J1" s="5"/>
      <c r="AS1" s="19"/>
      <c r="AT1" s="19"/>
    </row>
    <row r="2" spans="1:46" ht="16.5">
      <c r="A2" s="1" t="str">
        <f>Portfolio!$A$2</f>
        <v>PORTFOLIO INFORMATION AS AT 30 JUNE 2019</v>
      </c>
      <c r="B2" s="6"/>
      <c r="C2" s="14"/>
      <c r="D2" s="3"/>
      <c r="E2" s="3"/>
      <c r="F2" s="3"/>
      <c r="G2" s="3"/>
      <c r="H2" s="5"/>
      <c r="I2" s="5"/>
      <c r="J2" s="5"/>
      <c r="AQ2" s="63"/>
      <c r="AS2" s="19"/>
      <c r="AT2" s="19"/>
    </row>
    <row r="3" spans="1:46" ht="16.5">
      <c r="A3" s="14"/>
      <c r="B3" s="6"/>
      <c r="C3" s="14"/>
      <c r="D3" s="3"/>
      <c r="E3" s="3"/>
      <c r="F3" s="3"/>
      <c r="G3" s="3"/>
      <c r="H3" s="5"/>
      <c r="I3" s="5"/>
      <c r="J3" s="5"/>
      <c r="AS3" s="19"/>
      <c r="AT3" s="19"/>
    </row>
    <row r="4" spans="1:56" s="72" customFormat="1" ht="11.25">
      <c r="A4" s="69"/>
      <c r="C4" s="69"/>
      <c r="AE4" s="168"/>
      <c r="AS4" s="168"/>
      <c r="AT4" s="168"/>
      <c r="AZ4" s="168"/>
      <c r="BB4" s="168"/>
      <c r="BD4" s="168"/>
    </row>
    <row r="5" spans="1:56" ht="15">
      <c r="A5" s="12" t="s">
        <v>81</v>
      </c>
      <c r="B5" s="60"/>
      <c r="C5" s="12"/>
      <c r="D5" s="119" t="s">
        <v>38</v>
      </c>
      <c r="E5" s="119" t="s">
        <v>39</v>
      </c>
      <c r="F5" s="119" t="s">
        <v>68</v>
      </c>
      <c r="G5" s="119" t="s">
        <v>69</v>
      </c>
      <c r="H5" s="119" t="s">
        <v>70</v>
      </c>
      <c r="I5" s="119" t="s">
        <v>71</v>
      </c>
      <c r="J5" s="119" t="s">
        <v>72</v>
      </c>
      <c r="K5" s="119" t="s">
        <v>73</v>
      </c>
      <c r="L5" s="119" t="s">
        <v>4</v>
      </c>
      <c r="M5" s="119" t="s">
        <v>21</v>
      </c>
      <c r="N5" s="119" t="s">
        <v>20</v>
      </c>
      <c r="O5" s="119" t="s">
        <v>23</v>
      </c>
      <c r="P5" s="119" t="s">
        <v>24</v>
      </c>
      <c r="Q5" s="119" t="s">
        <v>25</v>
      </c>
      <c r="R5" s="119" t="s">
        <v>125</v>
      </c>
      <c r="S5" s="119" t="s">
        <v>126</v>
      </c>
      <c r="T5" s="119" t="s">
        <v>127</v>
      </c>
      <c r="U5" s="119" t="s">
        <v>128</v>
      </c>
      <c r="V5" s="119" t="s">
        <v>129</v>
      </c>
      <c r="W5" s="119" t="s">
        <v>131</v>
      </c>
      <c r="X5" s="119" t="s">
        <v>139</v>
      </c>
      <c r="Y5" s="119" t="s">
        <v>142</v>
      </c>
      <c r="Z5" s="119" t="s">
        <v>144</v>
      </c>
      <c r="AA5" s="119" t="s">
        <v>145</v>
      </c>
      <c r="AB5" s="119" t="s">
        <v>146</v>
      </c>
      <c r="AC5" s="119" t="s">
        <v>147</v>
      </c>
      <c r="AD5" s="119" t="s">
        <v>154</v>
      </c>
      <c r="AE5" s="119" t="s">
        <v>158</v>
      </c>
      <c r="AF5" s="172" t="s">
        <v>160</v>
      </c>
      <c r="AG5" s="172" t="s">
        <v>162</v>
      </c>
      <c r="AH5" s="172" t="s">
        <v>163</v>
      </c>
      <c r="AI5" s="172" t="s">
        <v>164</v>
      </c>
      <c r="AJ5" s="172" t="s">
        <v>165</v>
      </c>
      <c r="AK5" s="172" t="s">
        <v>172</v>
      </c>
      <c r="AL5" s="172" t="s">
        <v>173</v>
      </c>
      <c r="AM5" s="172" t="s">
        <v>174</v>
      </c>
      <c r="AN5" s="172" t="s">
        <v>175</v>
      </c>
      <c r="AO5" s="172" t="s">
        <v>183</v>
      </c>
      <c r="AP5" s="172" t="s">
        <v>184</v>
      </c>
      <c r="AQ5" s="172" t="s">
        <v>185</v>
      </c>
      <c r="AR5" s="172" t="s">
        <v>186</v>
      </c>
      <c r="AS5" s="194" t="s">
        <v>190</v>
      </c>
      <c r="AT5" s="194" t="s">
        <v>193</v>
      </c>
      <c r="AU5" s="194" t="s">
        <v>201</v>
      </c>
      <c r="AV5" s="194" t="s">
        <v>220</v>
      </c>
      <c r="AW5" s="194" t="s">
        <v>237</v>
      </c>
      <c r="AX5" s="194" t="s">
        <v>245</v>
      </c>
      <c r="AY5" s="194" t="s">
        <v>254</v>
      </c>
      <c r="AZ5" s="194" t="s">
        <v>266</v>
      </c>
      <c r="BA5" s="194" t="s">
        <v>278</v>
      </c>
      <c r="BB5" s="194" t="s">
        <v>305</v>
      </c>
      <c r="BC5" s="194" t="s">
        <v>313</v>
      </c>
      <c r="BD5" s="194" t="s">
        <v>324</v>
      </c>
    </row>
    <row r="6" spans="1:46" ht="12.75">
      <c r="A6" s="13"/>
      <c r="B6" s="6"/>
      <c r="C6" s="13"/>
      <c r="D6" s="61"/>
      <c r="E6" s="61"/>
      <c r="F6" s="61"/>
      <c r="G6" s="61"/>
      <c r="H6" s="61"/>
      <c r="I6" s="61"/>
      <c r="J6" s="61"/>
      <c r="K6" s="61"/>
      <c r="L6" s="61"/>
      <c r="AS6" s="19"/>
      <c r="AT6" s="19"/>
    </row>
    <row r="7" spans="1:46" ht="12.75">
      <c r="A7" s="16" t="s">
        <v>1</v>
      </c>
      <c r="C7" s="16"/>
      <c r="D7" s="17">
        <v>545</v>
      </c>
      <c r="E7" s="17"/>
      <c r="F7" s="17"/>
      <c r="G7" s="17"/>
      <c r="H7" s="17"/>
      <c r="I7" s="17"/>
      <c r="J7" s="17"/>
      <c r="K7" s="17"/>
      <c r="L7" s="17"/>
      <c r="M7" s="17"/>
      <c r="N7" s="17"/>
      <c r="O7" s="17"/>
      <c r="P7" s="17"/>
      <c r="R7" s="19"/>
      <c r="S7" s="19"/>
      <c r="AS7" s="19"/>
      <c r="AT7" s="19"/>
    </row>
    <row r="8" spans="1:56" ht="12.75">
      <c r="A8" s="2" t="s">
        <v>103</v>
      </c>
      <c r="C8" s="16"/>
      <c r="D8" s="65">
        <v>119.7</v>
      </c>
      <c r="E8" s="65">
        <v>4388</v>
      </c>
      <c r="F8" s="65">
        <v>4388</v>
      </c>
      <c r="G8" s="65">
        <v>4387</v>
      </c>
      <c r="H8" s="65">
        <v>4388</v>
      </c>
      <c r="I8" s="65">
        <v>4388</v>
      </c>
      <c r="J8" s="65">
        <v>4388</v>
      </c>
      <c r="K8" s="65">
        <v>4387</v>
      </c>
      <c r="L8" s="65">
        <v>4388</v>
      </c>
      <c r="M8" s="65">
        <v>4388</v>
      </c>
      <c r="N8" s="65">
        <v>4387</v>
      </c>
      <c r="O8" s="65">
        <v>4388</v>
      </c>
      <c r="P8" s="65">
        <v>4387</v>
      </c>
      <c r="Q8" s="65">
        <v>4388</v>
      </c>
      <c r="R8" s="65">
        <v>4387</v>
      </c>
      <c r="S8" s="65">
        <v>4388</v>
      </c>
      <c r="T8" s="58">
        <v>4388</v>
      </c>
      <c r="U8" s="58">
        <v>4387</v>
      </c>
      <c r="V8" s="58">
        <v>4387</v>
      </c>
      <c r="W8" s="58">
        <v>4388</v>
      </c>
      <c r="X8" s="66">
        <v>4388</v>
      </c>
      <c r="Y8" s="66">
        <v>4387</v>
      </c>
      <c r="Z8" s="153">
        <v>4387</v>
      </c>
      <c r="AA8" s="153">
        <v>4795</v>
      </c>
      <c r="AB8" s="153">
        <v>7209</v>
      </c>
      <c r="AC8" s="153">
        <v>5932</v>
      </c>
      <c r="AD8" s="153">
        <v>6543</v>
      </c>
      <c r="AE8" s="154">
        <v>6792</v>
      </c>
      <c r="AF8" s="154">
        <v>7304</v>
      </c>
      <c r="AG8" s="154">
        <v>7416</v>
      </c>
      <c r="AH8" s="154">
        <v>7448</v>
      </c>
      <c r="AI8" s="154">
        <v>7390</v>
      </c>
      <c r="AJ8" s="154">
        <v>7688</v>
      </c>
      <c r="AK8" s="154">
        <v>7878</v>
      </c>
      <c r="AL8" s="154">
        <v>7882</v>
      </c>
      <c r="AM8" s="154">
        <v>7844</v>
      </c>
      <c r="AN8" s="154">
        <v>7856</v>
      </c>
      <c r="AO8" s="154">
        <v>7858</v>
      </c>
      <c r="AP8" s="154">
        <v>7683</v>
      </c>
      <c r="AQ8" s="154">
        <v>7273</v>
      </c>
      <c r="AR8" s="154">
        <v>6953</v>
      </c>
      <c r="AS8" s="154">
        <v>6821</v>
      </c>
      <c r="AT8" s="66">
        <v>6839</v>
      </c>
      <c r="AU8" s="58">
        <v>6672</v>
      </c>
      <c r="AV8" s="58">
        <v>6460</v>
      </c>
      <c r="AW8" s="58">
        <v>6263</v>
      </c>
      <c r="AX8" s="58">
        <v>6137</v>
      </c>
      <c r="AY8" s="58">
        <v>5470</v>
      </c>
      <c r="AZ8" s="66">
        <v>6013</v>
      </c>
      <c r="BA8" s="66">
        <v>5679</v>
      </c>
      <c r="BB8" s="154">
        <v>6044</v>
      </c>
      <c r="BC8" s="154">
        <v>6274</v>
      </c>
      <c r="BD8" s="154">
        <v>6562</v>
      </c>
    </row>
    <row r="9" spans="1:56" ht="12.75">
      <c r="A9" s="2" t="s">
        <v>104</v>
      </c>
      <c r="C9" s="16"/>
      <c r="D9" s="65">
        <v>283</v>
      </c>
      <c r="E9" s="65">
        <v>0</v>
      </c>
      <c r="F9" s="65">
        <v>0</v>
      </c>
      <c r="G9" s="65">
        <v>226</v>
      </c>
      <c r="H9" s="65">
        <v>911</v>
      </c>
      <c r="I9" s="65">
        <v>1487</v>
      </c>
      <c r="J9" s="65">
        <v>1759</v>
      </c>
      <c r="K9" s="65">
        <v>1752</v>
      </c>
      <c r="L9" s="65">
        <v>1760</v>
      </c>
      <c r="M9" s="65">
        <v>1732</v>
      </c>
      <c r="N9" s="65">
        <v>1845</v>
      </c>
      <c r="O9" s="65">
        <v>1815</v>
      </c>
      <c r="P9" s="65">
        <v>1766</v>
      </c>
      <c r="Q9" s="65">
        <v>1662</v>
      </c>
      <c r="R9" s="65">
        <v>1698</v>
      </c>
      <c r="S9" s="65">
        <v>1654</v>
      </c>
      <c r="T9" s="58">
        <v>1570</v>
      </c>
      <c r="U9" s="58">
        <v>1590</v>
      </c>
      <c r="V9" s="58">
        <v>1387</v>
      </c>
      <c r="W9" s="58">
        <v>1452</v>
      </c>
      <c r="X9" s="66">
        <v>1436</v>
      </c>
      <c r="Y9" s="66">
        <v>1390</v>
      </c>
      <c r="Z9" s="153">
        <v>1498</v>
      </c>
      <c r="AA9" s="153">
        <v>1456</v>
      </c>
      <c r="AB9" s="153">
        <v>1454</v>
      </c>
      <c r="AC9" s="153">
        <v>1223</v>
      </c>
      <c r="AD9" s="153">
        <v>1237</v>
      </c>
      <c r="AE9" s="154">
        <v>1309</v>
      </c>
      <c r="AF9" s="154">
        <v>1316</v>
      </c>
      <c r="AG9" s="154">
        <v>1397</v>
      </c>
      <c r="AH9" s="154">
        <v>1334</v>
      </c>
      <c r="AI9" s="154">
        <v>1279</v>
      </c>
      <c r="AJ9" s="154">
        <v>1353</v>
      </c>
      <c r="AK9" s="154">
        <v>1436</v>
      </c>
      <c r="AL9" s="154">
        <v>1509</v>
      </c>
      <c r="AM9" s="154">
        <v>1487</v>
      </c>
      <c r="AN9" s="154">
        <v>1508</v>
      </c>
      <c r="AO9" s="154">
        <v>1533</v>
      </c>
      <c r="AP9" s="154">
        <v>1460</v>
      </c>
      <c r="AQ9" s="154">
        <v>1462</v>
      </c>
      <c r="AR9" s="154">
        <v>1491</v>
      </c>
      <c r="AS9" s="154">
        <v>1474</v>
      </c>
      <c r="AT9" s="66">
        <v>1457</v>
      </c>
      <c r="AU9" s="58">
        <v>1488</v>
      </c>
      <c r="AV9" s="58">
        <v>1461</v>
      </c>
      <c r="AW9" s="58">
        <v>1470</v>
      </c>
      <c r="AX9" s="58">
        <v>1348</v>
      </c>
      <c r="AY9" s="58">
        <v>1295</v>
      </c>
      <c r="AZ9" s="66">
        <v>1285</v>
      </c>
      <c r="BA9" s="66">
        <v>865</v>
      </c>
      <c r="BB9" s="154">
        <v>0</v>
      </c>
      <c r="BC9" s="154">
        <v>0</v>
      </c>
      <c r="BD9" s="154">
        <v>0</v>
      </c>
    </row>
    <row r="10" spans="1:56" ht="12.75">
      <c r="A10" s="2" t="s">
        <v>105</v>
      </c>
      <c r="C10" s="16"/>
      <c r="D10" s="65">
        <v>351.2</v>
      </c>
      <c r="E10" s="65">
        <v>0</v>
      </c>
      <c r="F10" s="65">
        <v>0</v>
      </c>
      <c r="G10" s="65">
        <v>0</v>
      </c>
      <c r="H10" s="65">
        <v>0</v>
      </c>
      <c r="I10" s="65">
        <v>0</v>
      </c>
      <c r="J10" s="65">
        <v>3851</v>
      </c>
      <c r="K10" s="65">
        <v>5672</v>
      </c>
      <c r="L10" s="65">
        <v>5407</v>
      </c>
      <c r="M10" s="65">
        <v>5213</v>
      </c>
      <c r="N10" s="65">
        <v>5073</v>
      </c>
      <c r="O10" s="65">
        <v>4373</v>
      </c>
      <c r="P10" s="65">
        <v>3554</v>
      </c>
      <c r="Q10" s="65">
        <v>3684</v>
      </c>
      <c r="R10" s="65">
        <v>3625</v>
      </c>
      <c r="S10" s="65">
        <v>3757</v>
      </c>
      <c r="T10" s="58">
        <v>3746</v>
      </c>
      <c r="U10" s="58">
        <v>3826</v>
      </c>
      <c r="V10" s="58">
        <v>3884</v>
      </c>
      <c r="W10" s="58">
        <v>3993</v>
      </c>
      <c r="X10" s="66">
        <v>4085</v>
      </c>
      <c r="Y10" s="66">
        <v>4088</v>
      </c>
      <c r="Z10" s="153">
        <v>4036</v>
      </c>
      <c r="AA10" s="153">
        <v>4041</v>
      </c>
      <c r="AB10" s="153">
        <v>4039</v>
      </c>
      <c r="AC10" s="153">
        <v>4007</v>
      </c>
      <c r="AD10" s="153">
        <v>22</v>
      </c>
      <c r="AE10" s="154">
        <v>0</v>
      </c>
      <c r="AF10" s="154">
        <v>0</v>
      </c>
      <c r="AG10" s="154">
        <v>0</v>
      </c>
      <c r="AH10" s="154">
        <v>0</v>
      </c>
      <c r="AI10" s="154">
        <v>0</v>
      </c>
      <c r="AJ10" s="154">
        <v>0</v>
      </c>
      <c r="AK10" s="154">
        <v>0</v>
      </c>
      <c r="AL10" s="154">
        <v>0</v>
      </c>
      <c r="AM10" s="154">
        <v>0</v>
      </c>
      <c r="AN10" s="154">
        <v>0</v>
      </c>
      <c r="AO10" s="154">
        <v>0</v>
      </c>
      <c r="AP10" s="154">
        <v>0</v>
      </c>
      <c r="AQ10" s="154">
        <v>0</v>
      </c>
      <c r="AR10" s="154">
        <v>0</v>
      </c>
      <c r="AS10" s="154">
        <v>0</v>
      </c>
      <c r="AT10" s="66">
        <v>0</v>
      </c>
      <c r="AU10" s="58">
        <v>0</v>
      </c>
      <c r="AV10" s="58">
        <v>0</v>
      </c>
      <c r="AW10" s="58">
        <v>0</v>
      </c>
      <c r="AX10" s="58">
        <v>0</v>
      </c>
      <c r="AY10" s="58">
        <v>0</v>
      </c>
      <c r="AZ10" s="66">
        <v>0</v>
      </c>
      <c r="BA10" s="66"/>
      <c r="BB10" s="154">
        <v>0</v>
      </c>
      <c r="BC10" s="154">
        <v>0</v>
      </c>
      <c r="BD10" s="154">
        <v>0</v>
      </c>
    </row>
    <row r="11" spans="1:56" ht="12.75">
      <c r="A11" s="2" t="s">
        <v>106</v>
      </c>
      <c r="C11" s="16"/>
      <c r="D11" s="65">
        <v>360.18</v>
      </c>
      <c r="E11" s="65">
        <v>0</v>
      </c>
      <c r="F11" s="65">
        <v>0</v>
      </c>
      <c r="G11" s="65">
        <v>0</v>
      </c>
      <c r="H11" s="65">
        <v>0</v>
      </c>
      <c r="I11" s="65">
        <v>0</v>
      </c>
      <c r="J11" s="65">
        <v>0</v>
      </c>
      <c r="K11" s="65">
        <v>0</v>
      </c>
      <c r="L11" s="65">
        <v>0</v>
      </c>
      <c r="M11" s="65">
        <v>0</v>
      </c>
      <c r="N11" s="65">
        <v>0</v>
      </c>
      <c r="O11" s="65">
        <v>0</v>
      </c>
      <c r="P11" s="65">
        <v>0</v>
      </c>
      <c r="Q11" s="65">
        <v>2188</v>
      </c>
      <c r="R11" s="65">
        <v>5500</v>
      </c>
      <c r="S11" s="65">
        <v>5500</v>
      </c>
      <c r="T11" s="58">
        <v>5500</v>
      </c>
      <c r="U11" s="58">
        <v>5500</v>
      </c>
      <c r="V11" s="58">
        <v>5500</v>
      </c>
      <c r="W11" s="58">
        <v>5500</v>
      </c>
      <c r="X11" s="66">
        <v>5500</v>
      </c>
      <c r="Y11" s="66">
        <v>5500</v>
      </c>
      <c r="Z11" s="153">
        <v>5500</v>
      </c>
      <c r="AA11" s="153">
        <v>5500</v>
      </c>
      <c r="AB11" s="153">
        <v>5500</v>
      </c>
      <c r="AC11" s="153">
        <v>5500</v>
      </c>
      <c r="AD11" s="153">
        <v>5500</v>
      </c>
      <c r="AE11" s="154">
        <v>5500</v>
      </c>
      <c r="AF11" s="154">
        <v>5500</v>
      </c>
      <c r="AG11" s="154">
        <v>5500</v>
      </c>
      <c r="AH11" s="154">
        <v>5500</v>
      </c>
      <c r="AI11" s="154">
        <v>5500</v>
      </c>
      <c r="AJ11" s="154">
        <v>5500</v>
      </c>
      <c r="AK11" s="154">
        <v>8171</v>
      </c>
      <c r="AL11" s="154">
        <v>12498</v>
      </c>
      <c r="AM11" s="154">
        <v>12438</v>
      </c>
      <c r="AN11" s="154">
        <v>12503</v>
      </c>
      <c r="AO11" s="154">
        <v>13054</v>
      </c>
      <c r="AP11" s="154">
        <v>13302</v>
      </c>
      <c r="AQ11" s="154">
        <v>13152</v>
      </c>
      <c r="AR11" s="154">
        <v>13291</v>
      </c>
      <c r="AS11" s="154">
        <v>13314</v>
      </c>
      <c r="AT11" s="66">
        <v>13360</v>
      </c>
      <c r="AU11" s="58">
        <v>12907</v>
      </c>
      <c r="AV11" s="58">
        <v>12706</v>
      </c>
      <c r="AW11" s="58">
        <v>12878</v>
      </c>
      <c r="AX11" s="58">
        <v>11025</v>
      </c>
      <c r="AY11" s="58">
        <v>9593</v>
      </c>
      <c r="AZ11" s="66">
        <v>8946</v>
      </c>
      <c r="BA11" s="66">
        <v>9149</v>
      </c>
      <c r="BB11" s="154">
        <v>8761</v>
      </c>
      <c r="BC11" s="154">
        <v>7702</v>
      </c>
      <c r="BD11" s="154">
        <v>7696</v>
      </c>
    </row>
    <row r="12" spans="1:56" ht="12.75">
      <c r="A12" s="2" t="s">
        <v>107</v>
      </c>
      <c r="C12" s="16"/>
      <c r="D12" s="65">
        <v>112.752</v>
      </c>
      <c r="E12" s="65">
        <v>6305</v>
      </c>
      <c r="F12" s="65">
        <v>6714</v>
      </c>
      <c r="G12" s="65">
        <v>6800</v>
      </c>
      <c r="H12" s="65">
        <v>7053</v>
      </c>
      <c r="I12" s="65">
        <v>7830</v>
      </c>
      <c r="J12" s="65">
        <v>8928</v>
      </c>
      <c r="K12" s="65">
        <v>8663</v>
      </c>
      <c r="L12" s="65">
        <v>8145</v>
      </c>
      <c r="M12" s="65">
        <v>7975</v>
      </c>
      <c r="N12" s="65">
        <v>6116</v>
      </c>
      <c r="O12" s="65">
        <v>6836</v>
      </c>
      <c r="P12" s="65">
        <v>6520</v>
      </c>
      <c r="Q12" s="65">
        <v>6912</v>
      </c>
      <c r="R12" s="65">
        <v>7381</v>
      </c>
      <c r="S12" s="65">
        <v>7508</v>
      </c>
      <c r="T12" s="58">
        <v>7275</v>
      </c>
      <c r="U12" s="58">
        <v>7293</v>
      </c>
      <c r="V12" s="58">
        <v>7281</v>
      </c>
      <c r="W12" s="58">
        <v>8319</v>
      </c>
      <c r="X12" s="66">
        <v>9248</v>
      </c>
      <c r="Y12" s="66">
        <v>9105</v>
      </c>
      <c r="Z12" s="153">
        <v>9133</v>
      </c>
      <c r="AA12" s="153">
        <v>9111</v>
      </c>
      <c r="AB12" s="153">
        <v>9087</v>
      </c>
      <c r="AC12" s="153">
        <v>9386</v>
      </c>
      <c r="AD12" s="153">
        <v>9423</v>
      </c>
      <c r="AE12" s="154">
        <v>9553</v>
      </c>
      <c r="AF12" s="154">
        <v>9550</v>
      </c>
      <c r="AG12" s="154">
        <v>8479</v>
      </c>
      <c r="AH12" s="154">
        <v>8518</v>
      </c>
      <c r="AI12" s="154">
        <v>8556</v>
      </c>
      <c r="AJ12" s="154">
        <v>9036</v>
      </c>
      <c r="AK12" s="154">
        <v>8373</v>
      </c>
      <c r="AL12" s="154">
        <v>7816</v>
      </c>
      <c r="AM12" s="154">
        <v>7492</v>
      </c>
      <c r="AN12" s="154">
        <v>7376</v>
      </c>
      <c r="AO12" s="154">
        <v>7121</v>
      </c>
      <c r="AP12" s="154">
        <v>6852</v>
      </c>
      <c r="AQ12" s="154">
        <v>6610</v>
      </c>
      <c r="AR12" s="154">
        <v>6389</v>
      </c>
      <c r="AS12" s="154">
        <v>6704</v>
      </c>
      <c r="AT12" s="66">
        <v>6900</v>
      </c>
      <c r="AU12" s="58">
        <v>7849</v>
      </c>
      <c r="AV12" s="58">
        <v>6671</v>
      </c>
      <c r="AW12" s="58">
        <v>6475</v>
      </c>
      <c r="AX12" s="58">
        <v>5810</v>
      </c>
      <c r="AY12" s="58">
        <v>5796</v>
      </c>
      <c r="AZ12" s="66">
        <v>5662</v>
      </c>
      <c r="BA12" s="66">
        <v>6148</v>
      </c>
      <c r="BB12" s="154">
        <v>6093</v>
      </c>
      <c r="BC12" s="154">
        <v>6013</v>
      </c>
      <c r="BD12" s="154">
        <v>5847</v>
      </c>
    </row>
    <row r="13" spans="1:56" ht="12.75">
      <c r="A13" s="2" t="s">
        <v>108</v>
      </c>
      <c r="C13" s="16"/>
      <c r="D13" s="65">
        <v>48.8592</v>
      </c>
      <c r="E13" s="65">
        <v>0</v>
      </c>
      <c r="F13" s="65">
        <v>0</v>
      </c>
      <c r="G13" s="65">
        <v>0</v>
      </c>
      <c r="H13" s="65">
        <v>0</v>
      </c>
      <c r="I13" s="65">
        <v>3169</v>
      </c>
      <c r="J13" s="65">
        <v>2889</v>
      </c>
      <c r="K13" s="65">
        <v>3065</v>
      </c>
      <c r="L13" s="65">
        <v>3098</v>
      </c>
      <c r="M13" s="65">
        <v>3009</v>
      </c>
      <c r="N13" s="65">
        <v>2366</v>
      </c>
      <c r="O13" s="65">
        <v>2430</v>
      </c>
      <c r="P13" s="65">
        <v>2681</v>
      </c>
      <c r="Q13" s="65">
        <v>2879</v>
      </c>
      <c r="R13" s="65">
        <v>3043</v>
      </c>
      <c r="S13" s="65">
        <v>3058</v>
      </c>
      <c r="T13" s="58">
        <v>2941</v>
      </c>
      <c r="U13" s="58">
        <v>2972</v>
      </c>
      <c r="V13" s="58">
        <v>3105</v>
      </c>
      <c r="W13" s="58">
        <v>3124</v>
      </c>
      <c r="X13" s="66">
        <v>3252</v>
      </c>
      <c r="Y13" s="66">
        <v>3150</v>
      </c>
      <c r="Z13" s="153">
        <v>3241</v>
      </c>
      <c r="AA13" s="153">
        <v>3300</v>
      </c>
      <c r="AB13" s="153">
        <v>5998</v>
      </c>
      <c r="AC13" s="153">
        <v>7063</v>
      </c>
      <c r="AD13" s="153">
        <v>6445</v>
      </c>
      <c r="AE13" s="154">
        <v>6554</v>
      </c>
      <c r="AF13" s="154">
        <v>6315</v>
      </c>
      <c r="AG13" s="154">
        <v>6020</v>
      </c>
      <c r="AH13" s="154">
        <v>5969</v>
      </c>
      <c r="AI13" s="154">
        <v>5875</v>
      </c>
      <c r="AJ13" s="154">
        <v>6064</v>
      </c>
      <c r="AK13" s="154">
        <v>5970</v>
      </c>
      <c r="AL13" s="154">
        <v>5754</v>
      </c>
      <c r="AM13" s="154">
        <v>5553</v>
      </c>
      <c r="AN13" s="154">
        <v>5451</v>
      </c>
      <c r="AO13" s="154">
        <v>5284</v>
      </c>
      <c r="AP13" s="154">
        <v>5265</v>
      </c>
      <c r="AQ13" s="154">
        <v>5242</v>
      </c>
      <c r="AR13" s="154">
        <v>5232</v>
      </c>
      <c r="AS13" s="154">
        <v>5463</v>
      </c>
      <c r="AT13" s="66">
        <v>5552</v>
      </c>
      <c r="AU13" s="58">
        <v>5620</v>
      </c>
      <c r="AV13" s="58">
        <v>5440</v>
      </c>
      <c r="AW13" s="58">
        <v>5605</v>
      </c>
      <c r="AX13" s="58">
        <v>5411</v>
      </c>
      <c r="AY13" s="58">
        <v>5393</v>
      </c>
      <c r="AZ13" s="66">
        <v>5258</v>
      </c>
      <c r="BA13" s="66">
        <v>5209</v>
      </c>
      <c r="BB13" s="154">
        <v>5119</v>
      </c>
      <c r="BC13" s="154">
        <v>5036</v>
      </c>
      <c r="BD13" s="154">
        <v>4966</v>
      </c>
    </row>
    <row r="14" spans="1:56" ht="12.75">
      <c r="A14" s="2" t="s">
        <v>180</v>
      </c>
      <c r="C14" s="16"/>
      <c r="D14" s="65"/>
      <c r="E14" s="65"/>
      <c r="F14" s="65"/>
      <c r="G14" s="65"/>
      <c r="H14" s="65"/>
      <c r="I14" s="65"/>
      <c r="J14" s="65"/>
      <c r="K14" s="66">
        <v>0</v>
      </c>
      <c r="L14" s="66">
        <v>0</v>
      </c>
      <c r="M14" s="66">
        <v>0</v>
      </c>
      <c r="N14" s="66">
        <v>0</v>
      </c>
      <c r="O14" s="66">
        <v>0</v>
      </c>
      <c r="P14" s="66">
        <v>0</v>
      </c>
      <c r="Q14" s="66">
        <v>0</v>
      </c>
      <c r="R14" s="66">
        <v>0</v>
      </c>
      <c r="S14" s="66">
        <v>0</v>
      </c>
      <c r="T14" s="66">
        <v>0</v>
      </c>
      <c r="U14" s="66">
        <v>0</v>
      </c>
      <c r="V14" s="66">
        <v>0</v>
      </c>
      <c r="W14" s="66">
        <v>0</v>
      </c>
      <c r="X14" s="66">
        <v>0</v>
      </c>
      <c r="Y14" s="66">
        <v>0</v>
      </c>
      <c r="Z14" s="153">
        <v>0</v>
      </c>
      <c r="AA14" s="153">
        <v>0</v>
      </c>
      <c r="AB14" s="153">
        <v>0</v>
      </c>
      <c r="AC14" s="153">
        <v>0</v>
      </c>
      <c r="AD14" s="153">
        <v>0</v>
      </c>
      <c r="AE14" s="154">
        <v>0</v>
      </c>
      <c r="AF14" s="154">
        <v>0</v>
      </c>
      <c r="AG14" s="154">
        <v>0</v>
      </c>
      <c r="AH14" s="154">
        <v>0</v>
      </c>
      <c r="AI14" s="154">
        <v>0</v>
      </c>
      <c r="AJ14" s="154">
        <v>0</v>
      </c>
      <c r="AK14" s="154">
        <v>0</v>
      </c>
      <c r="AL14" s="154">
        <v>0</v>
      </c>
      <c r="AM14" s="154">
        <v>0</v>
      </c>
      <c r="AN14" s="154">
        <v>0</v>
      </c>
      <c r="AO14" s="154">
        <v>2370</v>
      </c>
      <c r="AP14" s="154">
        <v>5061</v>
      </c>
      <c r="AQ14" s="154">
        <v>5255</v>
      </c>
      <c r="AR14" s="154">
        <v>5194</v>
      </c>
      <c r="AS14" s="154">
        <v>5554</v>
      </c>
      <c r="AT14" s="66">
        <v>5571</v>
      </c>
      <c r="AU14" s="58">
        <v>5704</v>
      </c>
      <c r="AV14" s="58">
        <v>5588</v>
      </c>
      <c r="AW14" s="58">
        <v>5615</v>
      </c>
      <c r="AX14" s="58">
        <v>5590</v>
      </c>
      <c r="AY14" s="58">
        <v>5467</v>
      </c>
      <c r="AZ14" s="66">
        <v>5330</v>
      </c>
      <c r="BA14" s="66">
        <v>5427</v>
      </c>
      <c r="BB14" s="154">
        <v>5529</v>
      </c>
      <c r="BC14" s="154">
        <v>5377</v>
      </c>
      <c r="BD14" s="154">
        <v>5144</v>
      </c>
    </row>
    <row r="15" spans="1:56" ht="12.75">
      <c r="A15" s="2" t="s">
        <v>138</v>
      </c>
      <c r="C15" s="2"/>
      <c r="D15" s="65">
        <v>74.2284</v>
      </c>
      <c r="E15" s="65">
        <v>0</v>
      </c>
      <c r="F15" s="65">
        <v>0</v>
      </c>
      <c r="G15" s="65">
        <v>0</v>
      </c>
      <c r="H15" s="65">
        <v>0</v>
      </c>
      <c r="I15" s="65">
        <v>1099</v>
      </c>
      <c r="J15" s="65">
        <v>1914</v>
      </c>
      <c r="K15" s="65">
        <v>1958</v>
      </c>
      <c r="L15" s="65">
        <v>1910</v>
      </c>
      <c r="M15" s="65">
        <v>1832</v>
      </c>
      <c r="N15" s="65">
        <v>2178</v>
      </c>
      <c r="O15" s="65">
        <v>1127</v>
      </c>
      <c r="P15" s="65">
        <v>1046</v>
      </c>
      <c r="Q15" s="65">
        <v>1128</v>
      </c>
      <c r="R15" s="65">
        <v>1209</v>
      </c>
      <c r="S15" s="65">
        <v>1221</v>
      </c>
      <c r="T15" s="58">
        <v>1216</v>
      </c>
      <c r="U15" s="58">
        <v>937</v>
      </c>
      <c r="V15" s="58">
        <v>651</v>
      </c>
      <c r="W15" s="58">
        <v>152</v>
      </c>
      <c r="X15" s="66">
        <v>0</v>
      </c>
      <c r="Y15" s="66">
        <v>0</v>
      </c>
      <c r="Z15" s="153">
        <v>0</v>
      </c>
      <c r="AA15" s="153">
        <v>0</v>
      </c>
      <c r="AB15" s="153">
        <v>0</v>
      </c>
      <c r="AC15" s="153">
        <v>0</v>
      </c>
      <c r="AD15" s="153">
        <v>0</v>
      </c>
      <c r="AE15" s="154">
        <v>0</v>
      </c>
      <c r="AF15" s="154">
        <v>0</v>
      </c>
      <c r="AG15" s="154">
        <v>0</v>
      </c>
      <c r="AH15" s="154">
        <v>0</v>
      </c>
      <c r="AI15" s="154">
        <v>0</v>
      </c>
      <c r="AJ15" s="154">
        <v>0</v>
      </c>
      <c r="AK15" s="154">
        <v>0</v>
      </c>
      <c r="AL15" s="154">
        <v>0</v>
      </c>
      <c r="AM15" s="154">
        <v>0</v>
      </c>
      <c r="AN15" s="154">
        <v>0</v>
      </c>
      <c r="AO15" s="154">
        <v>0</v>
      </c>
      <c r="AP15" s="154">
        <v>0</v>
      </c>
      <c r="AQ15" s="154">
        <v>0</v>
      </c>
      <c r="AR15" s="154">
        <v>0</v>
      </c>
      <c r="AS15" s="154">
        <v>0</v>
      </c>
      <c r="AT15" s="66">
        <v>0</v>
      </c>
      <c r="AU15" s="58">
        <v>0</v>
      </c>
      <c r="AV15" s="58">
        <v>0</v>
      </c>
      <c r="AW15" s="58">
        <v>0</v>
      </c>
      <c r="AX15" s="58">
        <v>0</v>
      </c>
      <c r="AY15" s="58">
        <v>0</v>
      </c>
      <c r="AZ15" s="66">
        <v>0</v>
      </c>
      <c r="BA15" s="66">
        <v>0</v>
      </c>
      <c r="BB15" s="66">
        <v>0</v>
      </c>
      <c r="BC15" s="154">
        <v>0</v>
      </c>
      <c r="BD15" s="154">
        <v>0</v>
      </c>
    </row>
    <row r="16" spans="1:56" ht="12.75">
      <c r="A16" s="2" t="s">
        <v>110</v>
      </c>
      <c r="C16" s="2"/>
      <c r="D16" s="65">
        <v>22.3938</v>
      </c>
      <c r="E16" s="65">
        <v>0</v>
      </c>
      <c r="F16" s="65">
        <v>0</v>
      </c>
      <c r="G16" s="65">
        <v>0</v>
      </c>
      <c r="H16" s="65">
        <v>0</v>
      </c>
      <c r="I16" s="65">
        <v>21</v>
      </c>
      <c r="J16" s="65">
        <v>361</v>
      </c>
      <c r="K16" s="65">
        <v>371</v>
      </c>
      <c r="L16" s="65">
        <v>365</v>
      </c>
      <c r="M16" s="65">
        <v>377</v>
      </c>
      <c r="N16" s="65">
        <v>459</v>
      </c>
      <c r="O16" s="65">
        <v>463</v>
      </c>
      <c r="P16" s="65">
        <v>396</v>
      </c>
      <c r="Q16" s="65">
        <v>434</v>
      </c>
      <c r="R16" s="65">
        <v>436</v>
      </c>
      <c r="S16" s="65">
        <v>414</v>
      </c>
      <c r="T16" s="58">
        <v>418</v>
      </c>
      <c r="U16" s="58">
        <v>458</v>
      </c>
      <c r="V16" s="58">
        <v>438</v>
      </c>
      <c r="W16" s="58">
        <v>426</v>
      </c>
      <c r="X16" s="66">
        <v>413</v>
      </c>
      <c r="Y16" s="66">
        <v>433</v>
      </c>
      <c r="Z16" s="153">
        <v>457</v>
      </c>
      <c r="AA16" s="153">
        <v>429</v>
      </c>
      <c r="AB16" s="153">
        <v>422</v>
      </c>
      <c r="AC16" s="153">
        <v>439</v>
      </c>
      <c r="AD16" s="153">
        <v>120</v>
      </c>
      <c r="AE16" s="154">
        <v>0</v>
      </c>
      <c r="AF16" s="154">
        <v>0</v>
      </c>
      <c r="AG16" s="154">
        <v>0</v>
      </c>
      <c r="AH16" s="154">
        <v>0</v>
      </c>
      <c r="AI16" s="154">
        <v>0</v>
      </c>
      <c r="AJ16" s="154">
        <v>0</v>
      </c>
      <c r="AK16" s="154">
        <v>0</v>
      </c>
      <c r="AL16" s="154">
        <v>0</v>
      </c>
      <c r="AM16" s="154">
        <v>0</v>
      </c>
      <c r="AN16" s="154">
        <v>0</v>
      </c>
      <c r="AO16" s="154">
        <v>0</v>
      </c>
      <c r="AP16" s="154">
        <v>0</v>
      </c>
      <c r="AQ16" s="154">
        <v>0</v>
      </c>
      <c r="AR16" s="154">
        <v>0</v>
      </c>
      <c r="AS16" s="154">
        <v>0</v>
      </c>
      <c r="AT16" s="66">
        <v>0</v>
      </c>
      <c r="AU16" s="58">
        <v>0</v>
      </c>
      <c r="AV16" s="58">
        <v>0</v>
      </c>
      <c r="AW16" s="58">
        <v>0</v>
      </c>
      <c r="AX16" s="58">
        <v>0</v>
      </c>
      <c r="AY16" s="58">
        <v>0</v>
      </c>
      <c r="AZ16" s="66">
        <v>0</v>
      </c>
      <c r="BA16" s="66">
        <v>0</v>
      </c>
      <c r="BB16" s="66">
        <v>0</v>
      </c>
      <c r="BC16" s="154">
        <v>0</v>
      </c>
      <c r="BD16" s="154">
        <v>0</v>
      </c>
    </row>
    <row r="17" spans="1:56" ht="12.75">
      <c r="A17" s="2" t="s">
        <v>109</v>
      </c>
      <c r="C17" s="2"/>
      <c r="D17" s="65">
        <v>37.8972</v>
      </c>
      <c r="E17" s="65">
        <v>0</v>
      </c>
      <c r="F17" s="65">
        <v>0</v>
      </c>
      <c r="G17" s="65">
        <v>0</v>
      </c>
      <c r="H17" s="65">
        <v>0</v>
      </c>
      <c r="I17" s="65">
        <v>67</v>
      </c>
      <c r="J17" s="65">
        <v>1453</v>
      </c>
      <c r="K17" s="65">
        <v>1523</v>
      </c>
      <c r="L17" s="65">
        <v>1445</v>
      </c>
      <c r="M17" s="65">
        <v>1515</v>
      </c>
      <c r="N17" s="65">
        <v>1817</v>
      </c>
      <c r="O17" s="65">
        <v>1871</v>
      </c>
      <c r="P17" s="65">
        <v>1699</v>
      </c>
      <c r="Q17" s="65">
        <v>1770</v>
      </c>
      <c r="R17" s="65">
        <v>1735</v>
      </c>
      <c r="S17" s="65">
        <v>1638</v>
      </c>
      <c r="T17" s="58">
        <v>1545</v>
      </c>
      <c r="U17" s="58">
        <v>1678</v>
      </c>
      <c r="V17" s="58">
        <v>1699</v>
      </c>
      <c r="W17" s="58">
        <v>1634</v>
      </c>
      <c r="X17" s="66">
        <v>1617</v>
      </c>
      <c r="Y17" s="66">
        <v>1695</v>
      </c>
      <c r="Z17" s="153">
        <v>1723</v>
      </c>
      <c r="AA17" s="153">
        <v>1586</v>
      </c>
      <c r="AB17" s="153">
        <v>1388</v>
      </c>
      <c r="AC17" s="153">
        <v>1379</v>
      </c>
      <c r="AD17" s="153">
        <v>319</v>
      </c>
      <c r="AE17" s="154">
        <v>0</v>
      </c>
      <c r="AF17" s="154">
        <v>0</v>
      </c>
      <c r="AG17" s="154">
        <v>0</v>
      </c>
      <c r="AH17" s="154">
        <v>0</v>
      </c>
      <c r="AI17" s="154">
        <v>0</v>
      </c>
      <c r="AJ17" s="154">
        <v>0</v>
      </c>
      <c r="AK17" s="154">
        <v>0</v>
      </c>
      <c r="AL17" s="154">
        <v>0</v>
      </c>
      <c r="AM17" s="154">
        <v>0</v>
      </c>
      <c r="AN17" s="154">
        <v>0</v>
      </c>
      <c r="AO17" s="154">
        <v>0</v>
      </c>
      <c r="AP17" s="154">
        <v>0</v>
      </c>
      <c r="AQ17" s="154">
        <v>0</v>
      </c>
      <c r="AR17" s="154">
        <v>0</v>
      </c>
      <c r="AS17" s="154">
        <v>0</v>
      </c>
      <c r="AT17" s="66">
        <v>0</v>
      </c>
      <c r="AU17" s="58">
        <v>0</v>
      </c>
      <c r="AV17" s="58">
        <v>0</v>
      </c>
      <c r="AW17" s="58">
        <v>0</v>
      </c>
      <c r="AX17" s="58">
        <v>0</v>
      </c>
      <c r="AY17" s="58">
        <v>0</v>
      </c>
      <c r="AZ17" s="66">
        <v>0</v>
      </c>
      <c r="BA17" s="66">
        <v>0</v>
      </c>
      <c r="BB17" s="66">
        <v>0</v>
      </c>
      <c r="BC17" s="154">
        <v>0</v>
      </c>
      <c r="BD17" s="154">
        <v>0</v>
      </c>
    </row>
    <row r="18" spans="1:56" s="19" customFormat="1" ht="12.75">
      <c r="A18" s="2" t="s">
        <v>111</v>
      </c>
      <c r="B18" s="52"/>
      <c r="C18" s="52"/>
      <c r="D18" s="65">
        <v>29.878152</v>
      </c>
      <c r="E18" s="65">
        <v>0</v>
      </c>
      <c r="F18" s="65">
        <v>0</v>
      </c>
      <c r="G18" s="65">
        <v>0</v>
      </c>
      <c r="H18" s="65">
        <v>0</v>
      </c>
      <c r="I18" s="65">
        <v>32</v>
      </c>
      <c r="J18" s="65">
        <v>528</v>
      </c>
      <c r="K18" s="65">
        <v>553</v>
      </c>
      <c r="L18" s="65">
        <v>533</v>
      </c>
      <c r="M18" s="65">
        <v>535</v>
      </c>
      <c r="N18" s="65">
        <v>647</v>
      </c>
      <c r="O18" s="65">
        <v>659</v>
      </c>
      <c r="P18" s="65">
        <v>624</v>
      </c>
      <c r="Q18" s="65">
        <v>635</v>
      </c>
      <c r="R18" s="65">
        <v>635</v>
      </c>
      <c r="S18" s="65">
        <v>634</v>
      </c>
      <c r="T18" s="66">
        <v>623</v>
      </c>
      <c r="U18" s="66">
        <v>650</v>
      </c>
      <c r="V18" s="66">
        <v>649</v>
      </c>
      <c r="W18" s="66">
        <v>638</v>
      </c>
      <c r="X18" s="66">
        <v>625</v>
      </c>
      <c r="Y18" s="66">
        <v>648</v>
      </c>
      <c r="Z18" s="154">
        <v>686</v>
      </c>
      <c r="AA18" s="154">
        <v>656</v>
      </c>
      <c r="AB18" s="154">
        <v>648</v>
      </c>
      <c r="AC18" s="154">
        <v>652</v>
      </c>
      <c r="AD18" s="154">
        <v>83</v>
      </c>
      <c r="AE18" s="154">
        <v>0</v>
      </c>
      <c r="AF18" s="154">
        <v>0</v>
      </c>
      <c r="AG18" s="154">
        <v>0</v>
      </c>
      <c r="AH18" s="154">
        <v>0</v>
      </c>
      <c r="AI18" s="154">
        <v>0</v>
      </c>
      <c r="AJ18" s="154">
        <v>0</v>
      </c>
      <c r="AK18" s="154">
        <v>0</v>
      </c>
      <c r="AL18" s="154">
        <v>0</v>
      </c>
      <c r="AM18" s="154">
        <v>0</v>
      </c>
      <c r="AN18" s="154">
        <v>0</v>
      </c>
      <c r="AO18" s="154">
        <v>0</v>
      </c>
      <c r="AP18" s="154">
        <v>0</v>
      </c>
      <c r="AQ18" s="154">
        <v>0</v>
      </c>
      <c r="AR18" s="154">
        <v>0</v>
      </c>
      <c r="AS18" s="154">
        <v>0</v>
      </c>
      <c r="AT18" s="66">
        <v>0</v>
      </c>
      <c r="AU18" s="66">
        <v>0</v>
      </c>
      <c r="AV18" s="66">
        <v>0</v>
      </c>
      <c r="AW18" s="66">
        <v>0</v>
      </c>
      <c r="AX18" s="66">
        <v>0</v>
      </c>
      <c r="AY18" s="66">
        <v>0</v>
      </c>
      <c r="AZ18" s="66">
        <v>0</v>
      </c>
      <c r="BA18" s="66">
        <v>0</v>
      </c>
      <c r="BB18" s="66">
        <v>0</v>
      </c>
      <c r="BC18" s="154">
        <v>0</v>
      </c>
      <c r="BD18" s="154">
        <v>0</v>
      </c>
    </row>
    <row r="19" spans="1:56" s="19" customFormat="1" ht="12.75">
      <c r="A19" s="2" t="s">
        <v>31</v>
      </c>
      <c r="B19" s="52"/>
      <c r="C19" s="52"/>
      <c r="D19" s="65">
        <v>874</v>
      </c>
      <c r="E19" s="65">
        <v>657</v>
      </c>
      <c r="F19" s="65">
        <v>696</v>
      </c>
      <c r="G19" s="65">
        <v>838</v>
      </c>
      <c r="H19" s="65">
        <v>5146</v>
      </c>
      <c r="I19" s="65">
        <v>770</v>
      </c>
      <c r="J19" s="65">
        <v>564</v>
      </c>
      <c r="K19" s="65">
        <v>495</v>
      </c>
      <c r="L19" s="65">
        <v>573</v>
      </c>
      <c r="M19" s="65">
        <v>-573</v>
      </c>
      <c r="N19" s="65">
        <v>0</v>
      </c>
      <c r="O19" s="65">
        <v>0</v>
      </c>
      <c r="P19" s="65">
        <v>0</v>
      </c>
      <c r="Q19" s="65">
        <v>0</v>
      </c>
      <c r="R19" s="58">
        <v>0</v>
      </c>
      <c r="S19" s="58">
        <v>0</v>
      </c>
      <c r="T19" s="66">
        <v>0</v>
      </c>
      <c r="U19" s="66">
        <v>0</v>
      </c>
      <c r="V19" s="66">
        <v>0</v>
      </c>
      <c r="W19" s="66">
        <v>0</v>
      </c>
      <c r="X19" s="66">
        <v>0</v>
      </c>
      <c r="Y19" s="66">
        <v>0</v>
      </c>
      <c r="Z19" s="154">
        <v>0</v>
      </c>
      <c r="AA19" s="154">
        <v>0</v>
      </c>
      <c r="AB19" s="154">
        <v>0</v>
      </c>
      <c r="AC19" s="154">
        <v>0</v>
      </c>
      <c r="AD19" s="154">
        <v>0</v>
      </c>
      <c r="AE19" s="154">
        <v>0</v>
      </c>
      <c r="AF19" s="154">
        <v>0</v>
      </c>
      <c r="AG19" s="154">
        <v>0</v>
      </c>
      <c r="AH19" s="154">
        <v>0</v>
      </c>
      <c r="AI19" s="154">
        <v>0</v>
      </c>
      <c r="AJ19" s="154">
        <v>0</v>
      </c>
      <c r="AK19" s="154">
        <v>0</v>
      </c>
      <c r="AL19" s="154">
        <v>0</v>
      </c>
      <c r="AM19" s="154">
        <v>0</v>
      </c>
      <c r="AN19" s="154">
        <v>0</v>
      </c>
      <c r="AO19" s="154">
        <v>0</v>
      </c>
      <c r="AP19" s="154">
        <v>0</v>
      </c>
      <c r="AQ19" s="154">
        <v>0</v>
      </c>
      <c r="AR19" s="154">
        <v>0</v>
      </c>
      <c r="AS19" s="154">
        <v>0</v>
      </c>
      <c r="AT19" s="66">
        <v>0</v>
      </c>
      <c r="AU19" s="66">
        <v>0</v>
      </c>
      <c r="AV19" s="66">
        <v>0</v>
      </c>
      <c r="AW19" s="66">
        <v>0</v>
      </c>
      <c r="AX19" s="66">
        <v>0</v>
      </c>
      <c r="AY19" s="66">
        <v>0</v>
      </c>
      <c r="AZ19" s="66">
        <v>0</v>
      </c>
      <c r="BA19" s="66">
        <v>0</v>
      </c>
      <c r="BB19" s="66">
        <v>0</v>
      </c>
      <c r="BC19" s="66">
        <v>0</v>
      </c>
      <c r="BD19" s="66">
        <v>0</v>
      </c>
    </row>
    <row r="20" spans="1:56" ht="13.5" thickBot="1">
      <c r="A20" s="2" t="s">
        <v>29</v>
      </c>
      <c r="C20" s="2"/>
      <c r="D20" s="59">
        <f>SUM(D8:D19)</f>
        <v>2314.0887519999997</v>
      </c>
      <c r="E20" s="59">
        <f>SUM(E8:E19)</f>
        <v>11350</v>
      </c>
      <c r="F20" s="59">
        <f aca="true" t="shared" si="0" ref="F20:S20">SUM(F8:F19)</f>
        <v>11798</v>
      </c>
      <c r="G20" s="59">
        <f t="shared" si="0"/>
        <v>12251</v>
      </c>
      <c r="H20" s="59">
        <f t="shared" si="0"/>
        <v>17498</v>
      </c>
      <c r="I20" s="59">
        <f t="shared" si="0"/>
        <v>18863</v>
      </c>
      <c r="J20" s="59">
        <f t="shared" si="0"/>
        <v>26635</v>
      </c>
      <c r="K20" s="59">
        <f>SUM(K8:K19)</f>
        <v>28439</v>
      </c>
      <c r="L20" s="59">
        <f>SUM(L8:L19)</f>
        <v>27624</v>
      </c>
      <c r="M20" s="59">
        <f t="shared" si="0"/>
        <v>26003</v>
      </c>
      <c r="N20" s="59">
        <f t="shared" si="0"/>
        <v>24888</v>
      </c>
      <c r="O20" s="59">
        <f t="shared" si="0"/>
        <v>23962</v>
      </c>
      <c r="P20" s="59">
        <f t="shared" si="0"/>
        <v>22673</v>
      </c>
      <c r="Q20" s="59">
        <f t="shared" si="0"/>
        <v>25680</v>
      </c>
      <c r="R20" s="59">
        <f t="shared" si="0"/>
        <v>29649</v>
      </c>
      <c r="S20" s="59">
        <f t="shared" si="0"/>
        <v>29772</v>
      </c>
      <c r="T20" s="59">
        <f aca="true" t="shared" si="1" ref="T20:AA20">+SUM(T8:T19)</f>
        <v>29222</v>
      </c>
      <c r="U20" s="59">
        <f t="shared" si="1"/>
        <v>29291</v>
      </c>
      <c r="V20" s="59">
        <f t="shared" si="1"/>
        <v>28981</v>
      </c>
      <c r="W20" s="59">
        <f t="shared" si="1"/>
        <v>29626</v>
      </c>
      <c r="X20" s="126">
        <f t="shared" si="1"/>
        <v>30564</v>
      </c>
      <c r="Y20" s="126">
        <f t="shared" si="1"/>
        <v>30396</v>
      </c>
      <c r="Z20" s="126">
        <f t="shared" si="1"/>
        <v>30661</v>
      </c>
      <c r="AA20" s="126">
        <f t="shared" si="1"/>
        <v>30874</v>
      </c>
      <c r="AB20" s="126">
        <f aca="true" t="shared" si="2" ref="AB20:AG20">+SUM(AB8:AB19)</f>
        <v>35745</v>
      </c>
      <c r="AC20" s="126">
        <f t="shared" si="2"/>
        <v>35581</v>
      </c>
      <c r="AD20" s="126">
        <f t="shared" si="2"/>
        <v>29692</v>
      </c>
      <c r="AE20" s="126">
        <f t="shared" si="2"/>
        <v>29708</v>
      </c>
      <c r="AF20" s="126">
        <f t="shared" si="2"/>
        <v>29985</v>
      </c>
      <c r="AG20" s="126">
        <f t="shared" si="2"/>
        <v>28812</v>
      </c>
      <c r="AH20" s="126">
        <f aca="true" t="shared" si="3" ref="AH20:AM20">+SUM(AH8:AH19)</f>
        <v>28769</v>
      </c>
      <c r="AI20" s="126">
        <f t="shared" si="3"/>
        <v>28600</v>
      </c>
      <c r="AJ20" s="126">
        <f t="shared" si="3"/>
        <v>29641</v>
      </c>
      <c r="AK20" s="126">
        <f t="shared" si="3"/>
        <v>31828</v>
      </c>
      <c r="AL20" s="126">
        <f t="shared" si="3"/>
        <v>35459</v>
      </c>
      <c r="AM20" s="126">
        <f t="shared" si="3"/>
        <v>34814</v>
      </c>
      <c r="AN20" s="126">
        <f aca="true" t="shared" si="4" ref="AN20:AW20">+SUM(AN8:AN19)</f>
        <v>34694</v>
      </c>
      <c r="AO20" s="181">
        <f t="shared" si="4"/>
        <v>37220</v>
      </c>
      <c r="AP20" s="181">
        <f t="shared" si="4"/>
        <v>39623</v>
      </c>
      <c r="AQ20" s="181">
        <f t="shared" si="4"/>
        <v>38994</v>
      </c>
      <c r="AR20" s="181">
        <f t="shared" si="4"/>
        <v>38550</v>
      </c>
      <c r="AS20" s="181">
        <f t="shared" si="4"/>
        <v>39330</v>
      </c>
      <c r="AT20" s="181">
        <f t="shared" si="4"/>
        <v>39679</v>
      </c>
      <c r="AU20" s="181">
        <f t="shared" si="4"/>
        <v>40240</v>
      </c>
      <c r="AV20" s="181">
        <f t="shared" si="4"/>
        <v>38326</v>
      </c>
      <c r="AW20" s="181">
        <f t="shared" si="4"/>
        <v>38306</v>
      </c>
      <c r="AX20" s="181">
        <f aca="true" t="shared" si="5" ref="AX20:BC20">+SUM(AX8:AX19)</f>
        <v>35321</v>
      </c>
      <c r="AY20" s="181">
        <f t="shared" si="5"/>
        <v>33014</v>
      </c>
      <c r="AZ20" s="181">
        <f t="shared" si="5"/>
        <v>32494</v>
      </c>
      <c r="BA20" s="181">
        <f t="shared" si="5"/>
        <v>32477</v>
      </c>
      <c r="BB20" s="181">
        <f t="shared" si="5"/>
        <v>31546</v>
      </c>
      <c r="BC20" s="181">
        <f t="shared" si="5"/>
        <v>30402</v>
      </c>
      <c r="BD20" s="181">
        <f>+SUM(BD8:BD19)</f>
        <v>30215</v>
      </c>
    </row>
    <row r="21" spans="1:24" s="19" customFormat="1" ht="12.75">
      <c r="A21" s="52"/>
      <c r="B21" s="52"/>
      <c r="C21" s="52"/>
      <c r="D21" s="122"/>
      <c r="E21" s="122"/>
      <c r="F21" s="122"/>
      <c r="G21" s="122"/>
      <c r="H21" s="122"/>
      <c r="I21" s="122"/>
      <c r="J21" s="122"/>
      <c r="K21" s="122"/>
      <c r="L21" s="65"/>
      <c r="M21" s="65"/>
      <c r="N21" s="122"/>
      <c r="O21" s="65"/>
      <c r="P21" s="65"/>
      <c r="Q21" s="65"/>
      <c r="R21" s="65"/>
      <c r="S21" s="65"/>
      <c r="T21" s="65"/>
      <c r="U21" s="65"/>
      <c r="V21" s="65"/>
      <c r="W21" s="65"/>
      <c r="X21" s="65"/>
    </row>
    <row r="22" spans="1:55" ht="12.75">
      <c r="A22" s="16" t="s">
        <v>18</v>
      </c>
      <c r="C22" s="16"/>
      <c r="D22" s="17"/>
      <c r="E22" s="17"/>
      <c r="F22" s="17"/>
      <c r="G22" s="17"/>
      <c r="H22" s="17"/>
      <c r="I22" s="17"/>
      <c r="J22" s="17"/>
      <c r="K22" s="17"/>
      <c r="L22" s="67"/>
      <c r="M22" s="67"/>
      <c r="N22" s="67"/>
      <c r="O22" s="65"/>
      <c r="P22" s="67"/>
      <c r="Q22" s="67"/>
      <c r="R22" s="67"/>
      <c r="S22" s="67"/>
      <c r="T22" s="67"/>
      <c r="U22" s="67"/>
      <c r="V22" s="141"/>
      <c r="W22" s="141"/>
      <c r="X22" s="140"/>
      <c r="AS22" s="19"/>
      <c r="AT22" s="19"/>
      <c r="BC22" s="19"/>
    </row>
    <row r="23" spans="1:56" ht="12.75">
      <c r="A23" s="2" t="s">
        <v>103</v>
      </c>
      <c r="C23" s="16"/>
      <c r="D23" s="65">
        <f aca="true" t="shared" si="6" ref="D23:N23">D38-D8</f>
        <v>4227.3</v>
      </c>
      <c r="E23" s="65">
        <f t="shared" si="6"/>
        <v>-131</v>
      </c>
      <c r="F23" s="65">
        <f t="shared" si="6"/>
        <v>-134</v>
      </c>
      <c r="G23" s="65">
        <f t="shared" si="6"/>
        <v>-131</v>
      </c>
      <c r="H23" s="65">
        <f t="shared" si="6"/>
        <v>-133</v>
      </c>
      <c r="I23" s="65">
        <f t="shared" si="6"/>
        <v>-132</v>
      </c>
      <c r="J23" s="65">
        <f t="shared" si="6"/>
        <v>-196</v>
      </c>
      <c r="K23" s="65">
        <f t="shared" si="6"/>
        <v>-141</v>
      </c>
      <c r="L23" s="65">
        <f t="shared" si="6"/>
        <v>-141</v>
      </c>
      <c r="M23" s="65">
        <f t="shared" si="6"/>
        <v>-141</v>
      </c>
      <c r="N23" s="65">
        <f t="shared" si="6"/>
        <v>-128</v>
      </c>
      <c r="O23" s="65">
        <v>-141</v>
      </c>
      <c r="P23" s="67">
        <v>-141</v>
      </c>
      <c r="Q23" s="67">
        <v>-144</v>
      </c>
      <c r="R23" s="67">
        <v>-152</v>
      </c>
      <c r="S23" s="67">
        <v>-157</v>
      </c>
      <c r="T23" s="58">
        <v>-151</v>
      </c>
      <c r="U23" s="58">
        <v>-131</v>
      </c>
      <c r="V23" s="58">
        <f aca="true" t="shared" si="7" ref="V23:AG23">V38-V8</f>
        <v>-150</v>
      </c>
      <c r="W23" s="58">
        <f t="shared" si="7"/>
        <v>-148</v>
      </c>
      <c r="X23" s="66">
        <f t="shared" si="7"/>
        <v>-150</v>
      </c>
      <c r="Y23" s="66">
        <f t="shared" si="7"/>
        <v>-135</v>
      </c>
      <c r="Z23" s="66">
        <f t="shared" si="7"/>
        <v>-148</v>
      </c>
      <c r="AA23" s="66">
        <f t="shared" si="7"/>
        <v>-219</v>
      </c>
      <c r="AB23" s="66">
        <f t="shared" si="7"/>
        <v>-2503</v>
      </c>
      <c r="AC23" s="66">
        <f t="shared" si="7"/>
        <v>-2439</v>
      </c>
      <c r="AD23" s="66">
        <f t="shared" si="7"/>
        <v>-2407</v>
      </c>
      <c r="AE23" s="66">
        <f t="shared" si="7"/>
        <v>-2471</v>
      </c>
      <c r="AF23" s="66">
        <f t="shared" si="7"/>
        <v>-2381</v>
      </c>
      <c r="AG23" s="66">
        <f t="shared" si="7"/>
        <v>-2988</v>
      </c>
      <c r="AH23" s="66">
        <v>-2674</v>
      </c>
      <c r="AI23" s="66">
        <f aca="true" t="shared" si="8" ref="AI23:AO33">AI38-AI8</f>
        <v>-2443</v>
      </c>
      <c r="AJ23" s="66">
        <f t="shared" si="8"/>
        <v>-2281</v>
      </c>
      <c r="AK23" s="66">
        <f t="shared" si="8"/>
        <v>-2699</v>
      </c>
      <c r="AL23" s="66">
        <f t="shared" si="8"/>
        <v>-2740</v>
      </c>
      <c r="AM23" s="66">
        <f t="shared" si="8"/>
        <v>-2553</v>
      </c>
      <c r="AN23" s="66">
        <f t="shared" si="8"/>
        <v>-2670</v>
      </c>
      <c r="AO23" s="66">
        <f t="shared" si="8"/>
        <v>-2601</v>
      </c>
      <c r="AP23" s="66">
        <f aca="true" t="shared" si="9" ref="AP23:AQ34">AP38-AP8</f>
        <v>-2661</v>
      </c>
      <c r="AQ23" s="66">
        <f t="shared" si="9"/>
        <v>-2477</v>
      </c>
      <c r="AR23" s="66">
        <f aca="true" t="shared" si="10" ref="AR23:AS34">AR38-AR8</f>
        <v>-2559</v>
      </c>
      <c r="AS23" s="66">
        <f>+-(AS8-4713)</f>
        <v>-2108</v>
      </c>
      <c r="AT23" s="65">
        <f>AT38-AT8</f>
        <v>-2225</v>
      </c>
      <c r="AU23" s="67">
        <v>-2235</v>
      </c>
      <c r="AV23" s="67">
        <f aca="true" t="shared" si="11" ref="AV23:BA23">AV38-AV8</f>
        <v>-2274</v>
      </c>
      <c r="AW23" s="67">
        <f t="shared" si="11"/>
        <v>-2389</v>
      </c>
      <c r="AX23" s="67">
        <f t="shared" si="11"/>
        <v>-2206</v>
      </c>
      <c r="AY23" s="67">
        <f t="shared" si="11"/>
        <v>-2265</v>
      </c>
      <c r="AZ23" s="65">
        <f t="shared" si="11"/>
        <v>-2058</v>
      </c>
      <c r="BA23" s="65">
        <f t="shared" si="11"/>
        <v>-2344</v>
      </c>
      <c r="BB23" s="65">
        <f aca="true" t="shared" si="12" ref="BB23:BC34">BB38-BB8</f>
        <v>-2237</v>
      </c>
      <c r="BC23" s="65">
        <f aca="true" t="shared" si="13" ref="BC23:BD28">BC38-BC8</f>
        <v>-2142</v>
      </c>
      <c r="BD23" s="65">
        <f t="shared" si="13"/>
        <v>-2312</v>
      </c>
    </row>
    <row r="24" spans="1:56" ht="12.75">
      <c r="A24" s="2" t="s">
        <v>104</v>
      </c>
      <c r="C24" s="16"/>
      <c r="D24" s="65">
        <f aca="true" t="shared" si="14" ref="D24:N24">D39-D9</f>
        <v>-283</v>
      </c>
      <c r="E24" s="65">
        <f t="shared" si="14"/>
        <v>0</v>
      </c>
      <c r="F24" s="65">
        <f t="shared" si="14"/>
        <v>-59</v>
      </c>
      <c r="G24" s="65">
        <f t="shared" si="14"/>
        <v>-176</v>
      </c>
      <c r="H24" s="65">
        <f t="shared" si="14"/>
        <v>-265</v>
      </c>
      <c r="I24" s="65">
        <f t="shared" si="14"/>
        <v>-347</v>
      </c>
      <c r="J24" s="65">
        <f t="shared" si="14"/>
        <v>-644</v>
      </c>
      <c r="K24" s="65">
        <f t="shared" si="14"/>
        <v>-500</v>
      </c>
      <c r="L24" s="65">
        <f t="shared" si="14"/>
        <v>-528</v>
      </c>
      <c r="M24" s="65">
        <f t="shared" si="14"/>
        <v>-532</v>
      </c>
      <c r="N24" s="65">
        <f t="shared" si="14"/>
        <v>-562</v>
      </c>
      <c r="O24" s="65">
        <v>-417</v>
      </c>
      <c r="P24" s="67">
        <v>-401</v>
      </c>
      <c r="Q24" s="67">
        <v>-373</v>
      </c>
      <c r="R24" s="67">
        <v>-387</v>
      </c>
      <c r="S24" s="67">
        <v>-385</v>
      </c>
      <c r="T24" s="58">
        <v>-405</v>
      </c>
      <c r="U24" s="58">
        <v>-249</v>
      </c>
      <c r="V24" s="58">
        <f aca="true" t="shared" si="15" ref="V24:AG24">V39-V9</f>
        <v>-313</v>
      </c>
      <c r="W24" s="58">
        <f t="shared" si="15"/>
        <v>-378</v>
      </c>
      <c r="X24" s="66">
        <f t="shared" si="15"/>
        <v>-392</v>
      </c>
      <c r="Y24" s="66">
        <f t="shared" si="15"/>
        <v>-480</v>
      </c>
      <c r="Z24" s="66">
        <f t="shared" si="15"/>
        <v>-488</v>
      </c>
      <c r="AA24" s="66">
        <f t="shared" si="15"/>
        <v>-373</v>
      </c>
      <c r="AB24" s="66">
        <f t="shared" si="15"/>
        <v>-419</v>
      </c>
      <c r="AC24" s="66">
        <f t="shared" si="15"/>
        <v>-342</v>
      </c>
      <c r="AD24" s="66">
        <f t="shared" si="15"/>
        <v>-390</v>
      </c>
      <c r="AE24" s="66">
        <f t="shared" si="15"/>
        <v>-401</v>
      </c>
      <c r="AF24" s="66">
        <f t="shared" si="15"/>
        <v>-446</v>
      </c>
      <c r="AG24" s="66">
        <f t="shared" si="15"/>
        <v>-421</v>
      </c>
      <c r="AH24" s="66">
        <v>-406</v>
      </c>
      <c r="AI24" s="66">
        <f t="shared" si="8"/>
        <v>-397</v>
      </c>
      <c r="AJ24" s="66">
        <f t="shared" si="8"/>
        <v>-420</v>
      </c>
      <c r="AK24" s="66">
        <f t="shared" si="8"/>
        <v>-504</v>
      </c>
      <c r="AL24" s="66">
        <f t="shared" si="8"/>
        <v>-442</v>
      </c>
      <c r="AM24" s="66">
        <f t="shared" si="8"/>
        <v>-433</v>
      </c>
      <c r="AN24" s="66">
        <f t="shared" si="8"/>
        <v>-455</v>
      </c>
      <c r="AO24" s="66">
        <f t="shared" si="8"/>
        <v>-449</v>
      </c>
      <c r="AP24" s="66">
        <f t="shared" si="9"/>
        <v>-427</v>
      </c>
      <c r="AQ24" s="66">
        <f t="shared" si="9"/>
        <v>-417</v>
      </c>
      <c r="AR24" s="66">
        <f t="shared" si="10"/>
        <v>-405</v>
      </c>
      <c r="AS24" s="66">
        <f>+-(AS9-1038)</f>
        <v>-436</v>
      </c>
      <c r="AT24" s="65">
        <f aca="true" t="shared" si="16" ref="AT24:AT34">AT39-AT9</f>
        <v>-414</v>
      </c>
      <c r="AU24" s="67">
        <v>-411</v>
      </c>
      <c r="AV24" s="67">
        <f aca="true" t="shared" si="17" ref="AV24:AW34">AV39-AV9</f>
        <v>-384</v>
      </c>
      <c r="AW24" s="67">
        <f aca="true" t="shared" si="18" ref="AW24:AX29">AW39-AW9</f>
        <v>-420</v>
      </c>
      <c r="AX24" s="67">
        <f t="shared" si="18"/>
        <v>-426</v>
      </c>
      <c r="AY24" s="67">
        <f aca="true" t="shared" si="19" ref="AY24:AZ34">AY39-AY9</f>
        <v>-433</v>
      </c>
      <c r="AZ24" s="65">
        <f aca="true" t="shared" si="20" ref="AZ24:BA29">AZ39-AZ9</f>
        <v>-414</v>
      </c>
      <c r="BA24" s="65">
        <f t="shared" si="20"/>
        <v>-347</v>
      </c>
      <c r="BB24" s="65">
        <f t="shared" si="12"/>
        <v>0</v>
      </c>
      <c r="BC24" s="65">
        <f t="shared" si="13"/>
        <v>0</v>
      </c>
      <c r="BD24" s="65">
        <f t="shared" si="13"/>
        <v>0</v>
      </c>
    </row>
    <row r="25" spans="1:56" ht="12.75">
      <c r="A25" s="2" t="s">
        <v>105</v>
      </c>
      <c r="C25" s="16"/>
      <c r="D25" s="65">
        <f aca="true" t="shared" si="21" ref="D25:N25">D40-D10</f>
        <v>-351.2</v>
      </c>
      <c r="E25" s="65">
        <f t="shared" si="21"/>
        <v>0</v>
      </c>
      <c r="F25" s="65">
        <f t="shared" si="21"/>
        <v>0</v>
      </c>
      <c r="G25" s="65">
        <f t="shared" si="21"/>
        <v>0</v>
      </c>
      <c r="H25" s="65">
        <f t="shared" si="21"/>
        <v>0</v>
      </c>
      <c r="I25" s="65">
        <f t="shared" si="21"/>
        <v>0</v>
      </c>
      <c r="J25" s="65">
        <f t="shared" si="21"/>
        <v>-990</v>
      </c>
      <c r="K25" s="65">
        <f t="shared" si="21"/>
        <v>-1331</v>
      </c>
      <c r="L25" s="65">
        <f t="shared" si="21"/>
        <v>-1314</v>
      </c>
      <c r="M25" s="65">
        <f t="shared" si="21"/>
        <v>-1383</v>
      </c>
      <c r="N25" s="65">
        <f t="shared" si="21"/>
        <v>-1426</v>
      </c>
      <c r="O25" s="65">
        <v>-1152</v>
      </c>
      <c r="P25" s="67">
        <v>-978</v>
      </c>
      <c r="Q25" s="67">
        <v>-1027</v>
      </c>
      <c r="R25" s="67">
        <v>-1086</v>
      </c>
      <c r="S25" s="67">
        <v>-1348</v>
      </c>
      <c r="T25" s="58">
        <v>-1097</v>
      </c>
      <c r="U25" s="58">
        <v>-794</v>
      </c>
      <c r="V25" s="58">
        <f aca="true" t="shared" si="22" ref="V25:AG25">V40-V10</f>
        <v>-1088</v>
      </c>
      <c r="W25" s="58">
        <f t="shared" si="22"/>
        <v>-1133</v>
      </c>
      <c r="X25" s="66">
        <f t="shared" si="22"/>
        <v>-1229</v>
      </c>
      <c r="Y25" s="66">
        <f t="shared" si="22"/>
        <v>-1352</v>
      </c>
      <c r="Z25" s="66">
        <f t="shared" si="22"/>
        <v>-1260</v>
      </c>
      <c r="AA25" s="66">
        <f t="shared" si="22"/>
        <v>-1216</v>
      </c>
      <c r="AB25" s="66">
        <f t="shared" si="22"/>
        <v>-1332</v>
      </c>
      <c r="AC25" s="66">
        <f t="shared" si="22"/>
        <v>-1369</v>
      </c>
      <c r="AD25" s="66">
        <f t="shared" si="22"/>
        <v>1</v>
      </c>
      <c r="AE25" s="66">
        <f t="shared" si="22"/>
        <v>0</v>
      </c>
      <c r="AF25" s="66">
        <f t="shared" si="22"/>
        <v>0</v>
      </c>
      <c r="AG25" s="66">
        <f t="shared" si="22"/>
        <v>0</v>
      </c>
      <c r="AH25" s="66">
        <f>AH40-AH10</f>
        <v>0</v>
      </c>
      <c r="AI25" s="66">
        <f t="shared" si="8"/>
        <v>0</v>
      </c>
      <c r="AJ25" s="66">
        <f t="shared" si="8"/>
        <v>0</v>
      </c>
      <c r="AK25" s="66">
        <f t="shared" si="8"/>
        <v>0</v>
      </c>
      <c r="AL25" s="66">
        <f t="shared" si="8"/>
        <v>0</v>
      </c>
      <c r="AM25" s="66">
        <f t="shared" si="8"/>
        <v>0</v>
      </c>
      <c r="AN25" s="66">
        <f t="shared" si="8"/>
        <v>0</v>
      </c>
      <c r="AO25" s="66">
        <f t="shared" si="8"/>
        <v>0</v>
      </c>
      <c r="AP25" s="66">
        <f t="shared" si="9"/>
        <v>0</v>
      </c>
      <c r="AQ25" s="66">
        <f t="shared" si="9"/>
        <v>0</v>
      </c>
      <c r="AR25" s="66">
        <f t="shared" si="10"/>
        <v>0</v>
      </c>
      <c r="AS25" s="66">
        <v>0</v>
      </c>
      <c r="AT25" s="65">
        <f t="shared" si="16"/>
        <v>0</v>
      </c>
      <c r="AU25" s="67">
        <v>0</v>
      </c>
      <c r="AV25" s="67">
        <f t="shared" si="17"/>
        <v>0</v>
      </c>
      <c r="AW25" s="67">
        <f t="shared" si="18"/>
        <v>0</v>
      </c>
      <c r="AX25" s="67">
        <f t="shared" si="18"/>
        <v>0</v>
      </c>
      <c r="AY25" s="67">
        <f t="shared" si="19"/>
        <v>0</v>
      </c>
      <c r="AZ25" s="65">
        <f t="shared" si="20"/>
        <v>0</v>
      </c>
      <c r="BA25" s="65">
        <f t="shared" si="20"/>
        <v>0</v>
      </c>
      <c r="BB25" s="65">
        <f t="shared" si="12"/>
        <v>0</v>
      </c>
      <c r="BC25" s="65">
        <f t="shared" si="13"/>
        <v>0</v>
      </c>
      <c r="BD25" s="65">
        <f t="shared" si="13"/>
        <v>0</v>
      </c>
    </row>
    <row r="26" spans="1:56" ht="12.75">
      <c r="A26" s="2" t="s">
        <v>106</v>
      </c>
      <c r="C26" s="16"/>
      <c r="D26" s="65">
        <f aca="true" t="shared" si="23" ref="D26:K28">D41-D11</f>
        <v>-360.18</v>
      </c>
      <c r="E26" s="65">
        <f t="shared" si="23"/>
        <v>0</v>
      </c>
      <c r="F26" s="65">
        <f t="shared" si="23"/>
        <v>0</v>
      </c>
      <c r="G26" s="65">
        <f t="shared" si="23"/>
        <v>0</v>
      </c>
      <c r="H26" s="65">
        <f t="shared" si="23"/>
        <v>0</v>
      </c>
      <c r="I26" s="65">
        <f t="shared" si="23"/>
        <v>0</v>
      </c>
      <c r="J26" s="65">
        <f t="shared" si="23"/>
        <v>0</v>
      </c>
      <c r="K26" s="65">
        <f t="shared" si="23"/>
        <v>0</v>
      </c>
      <c r="L26" s="65">
        <f>L41-K11</f>
        <v>0</v>
      </c>
      <c r="M26" s="65">
        <f aca="true" t="shared" si="24" ref="M26:N28">M41-M11</f>
        <v>0</v>
      </c>
      <c r="N26" s="65">
        <f t="shared" si="24"/>
        <v>0</v>
      </c>
      <c r="O26" s="65">
        <v>0</v>
      </c>
      <c r="P26" s="67">
        <v>0</v>
      </c>
      <c r="Q26" s="67">
        <v>-66</v>
      </c>
      <c r="R26" s="67">
        <v>-175</v>
      </c>
      <c r="S26" s="67">
        <v>-176</v>
      </c>
      <c r="T26" s="58">
        <v>-183</v>
      </c>
      <c r="U26" s="58">
        <v>-151</v>
      </c>
      <c r="V26" s="58">
        <f aca="true" t="shared" si="25" ref="V26:AG26">V41-V11</f>
        <v>-171</v>
      </c>
      <c r="W26" s="58">
        <f t="shared" si="25"/>
        <v>-172</v>
      </c>
      <c r="X26" s="66">
        <f t="shared" si="25"/>
        <v>-171</v>
      </c>
      <c r="Y26" s="66">
        <f t="shared" si="25"/>
        <v>-157</v>
      </c>
      <c r="Z26" s="66">
        <f t="shared" si="25"/>
        <v>-171</v>
      </c>
      <c r="AA26" s="66">
        <f t="shared" si="25"/>
        <v>-171</v>
      </c>
      <c r="AB26" s="66">
        <f t="shared" si="25"/>
        <v>-171</v>
      </c>
      <c r="AC26" s="66">
        <f t="shared" si="25"/>
        <v>-158</v>
      </c>
      <c r="AD26" s="66">
        <f t="shared" si="25"/>
        <v>-171</v>
      </c>
      <c r="AE26" s="66">
        <f t="shared" si="25"/>
        <v>-171</v>
      </c>
      <c r="AF26" s="66">
        <f t="shared" si="25"/>
        <v>-171</v>
      </c>
      <c r="AG26" s="66">
        <f t="shared" si="25"/>
        <v>-159</v>
      </c>
      <c r="AH26" s="66">
        <v>-171</v>
      </c>
      <c r="AI26" s="66">
        <f t="shared" si="8"/>
        <v>-171</v>
      </c>
      <c r="AJ26" s="66">
        <f t="shared" si="8"/>
        <v>-171</v>
      </c>
      <c r="AK26" s="66">
        <f t="shared" si="8"/>
        <v>-1561</v>
      </c>
      <c r="AL26" s="66">
        <f t="shared" si="8"/>
        <v>-3643</v>
      </c>
      <c r="AM26" s="66">
        <f t="shared" si="8"/>
        <v>-3471</v>
      </c>
      <c r="AN26" s="66">
        <f t="shared" si="8"/>
        <v>-3529</v>
      </c>
      <c r="AO26" s="66">
        <f t="shared" si="8"/>
        <v>-3441</v>
      </c>
      <c r="AP26" s="66">
        <f t="shared" si="9"/>
        <v>-3247</v>
      </c>
      <c r="AQ26" s="66">
        <f t="shared" si="9"/>
        <v>-3244</v>
      </c>
      <c r="AR26" s="66">
        <f t="shared" si="10"/>
        <v>-3227</v>
      </c>
      <c r="AS26" s="66">
        <f>+-(AS11-10152)</f>
        <v>-3162</v>
      </c>
      <c r="AT26" s="65">
        <f t="shared" si="16"/>
        <v>-3248</v>
      </c>
      <c r="AU26" s="67">
        <v>-3176</v>
      </c>
      <c r="AV26" s="67">
        <f t="shared" si="17"/>
        <v>-3277</v>
      </c>
      <c r="AW26" s="67">
        <f t="shared" si="18"/>
        <v>-3271</v>
      </c>
      <c r="AX26" s="67">
        <f t="shared" si="18"/>
        <v>-3407</v>
      </c>
      <c r="AY26" s="67">
        <f t="shared" si="19"/>
        <v>-3197</v>
      </c>
      <c r="AZ26" s="65">
        <f t="shared" si="20"/>
        <v>-3339</v>
      </c>
      <c r="BA26" s="65">
        <f t="shared" si="20"/>
        <v>-2751</v>
      </c>
      <c r="BB26" s="65">
        <f t="shared" si="12"/>
        <v>-3006</v>
      </c>
      <c r="BC26" s="65">
        <f t="shared" si="13"/>
        <v>-2989</v>
      </c>
      <c r="BD26" s="65">
        <f t="shared" si="13"/>
        <v>-2984</v>
      </c>
    </row>
    <row r="27" spans="1:56" ht="12.75">
      <c r="A27" s="2" t="s">
        <v>107</v>
      </c>
      <c r="C27" s="16"/>
      <c r="D27" s="65">
        <f t="shared" si="23"/>
        <v>4425.248</v>
      </c>
      <c r="E27" s="65">
        <f t="shared" si="23"/>
        <v>-1894</v>
      </c>
      <c r="F27" s="65">
        <f t="shared" si="23"/>
        <v>-1931</v>
      </c>
      <c r="G27" s="65">
        <f t="shared" si="23"/>
        <v>-1715</v>
      </c>
      <c r="H27" s="65">
        <f t="shared" si="23"/>
        <v>-1978</v>
      </c>
      <c r="I27" s="65">
        <f t="shared" si="23"/>
        <v>-2196</v>
      </c>
      <c r="J27" s="65">
        <f t="shared" si="23"/>
        <v>-2272</v>
      </c>
      <c r="K27" s="65">
        <f t="shared" si="23"/>
        <v>-2065</v>
      </c>
      <c r="L27" s="65">
        <f>L42-L12</f>
        <v>-2558</v>
      </c>
      <c r="M27" s="65">
        <f t="shared" si="24"/>
        <v>-2190</v>
      </c>
      <c r="N27" s="65">
        <f t="shared" si="24"/>
        <v>-1759</v>
      </c>
      <c r="O27" s="65">
        <v>-1618</v>
      </c>
      <c r="P27" s="67">
        <v>-2058</v>
      </c>
      <c r="Q27" s="67">
        <v>-1969</v>
      </c>
      <c r="R27" s="67">
        <v>-2037</v>
      </c>
      <c r="S27" s="67">
        <v>-2015</v>
      </c>
      <c r="T27" s="58">
        <v>-2568</v>
      </c>
      <c r="U27" s="58">
        <v>-2079</v>
      </c>
      <c r="V27" s="58">
        <f aca="true" t="shared" si="26" ref="V27:AG27">V42-V12</f>
        <v>-2178</v>
      </c>
      <c r="W27" s="58">
        <f t="shared" si="26"/>
        <v>-2536</v>
      </c>
      <c r="X27" s="66">
        <f t="shared" si="26"/>
        <v>-2472</v>
      </c>
      <c r="Y27" s="66">
        <f t="shared" si="26"/>
        <v>-2496</v>
      </c>
      <c r="Z27" s="66">
        <f t="shared" si="26"/>
        <v>-2513</v>
      </c>
      <c r="AA27" s="66">
        <f t="shared" si="26"/>
        <v>-2634</v>
      </c>
      <c r="AB27" s="66">
        <f t="shared" si="26"/>
        <v>-2903</v>
      </c>
      <c r="AC27" s="66">
        <f t="shared" si="26"/>
        <v>-2512</v>
      </c>
      <c r="AD27" s="66">
        <f t="shared" si="26"/>
        <v>-2562</v>
      </c>
      <c r="AE27" s="66">
        <f t="shared" si="26"/>
        <v>-2664</v>
      </c>
      <c r="AF27" s="66">
        <f t="shared" si="26"/>
        <v>-3081</v>
      </c>
      <c r="AG27" s="66">
        <f t="shared" si="26"/>
        <v>-2250</v>
      </c>
      <c r="AH27" s="66">
        <v>-2453</v>
      </c>
      <c r="AI27" s="66">
        <f t="shared" si="8"/>
        <v>-2519</v>
      </c>
      <c r="AJ27" s="66">
        <f t="shared" si="8"/>
        <v>-2725</v>
      </c>
      <c r="AK27" s="66">
        <f t="shared" si="8"/>
        <v>-2282</v>
      </c>
      <c r="AL27" s="66">
        <f t="shared" si="8"/>
        <v>-2215</v>
      </c>
      <c r="AM27" s="66">
        <f t="shared" si="8"/>
        <v>-2356</v>
      </c>
      <c r="AN27" s="66">
        <f t="shared" si="8"/>
        <v>-2555</v>
      </c>
      <c r="AO27" s="66">
        <f t="shared" si="8"/>
        <v>-2090</v>
      </c>
      <c r="AP27" s="66">
        <f t="shared" si="9"/>
        <v>-1921</v>
      </c>
      <c r="AQ27" s="66">
        <f t="shared" si="9"/>
        <v>-1976</v>
      </c>
      <c r="AR27" s="66">
        <f t="shared" si="10"/>
        <v>-2077</v>
      </c>
      <c r="AS27" s="66">
        <f>+-(AS12-4693)</f>
        <v>-2011</v>
      </c>
      <c r="AT27" s="65">
        <f t="shared" si="16"/>
        <v>-2339</v>
      </c>
      <c r="AU27" s="67">
        <v>-1967</v>
      </c>
      <c r="AV27" s="67">
        <f t="shared" si="17"/>
        <v>-2212</v>
      </c>
      <c r="AW27" s="67">
        <f t="shared" si="18"/>
        <v>-2149</v>
      </c>
      <c r="AX27" s="67">
        <f t="shared" si="18"/>
        <v>-2100</v>
      </c>
      <c r="AY27" s="67">
        <f t="shared" si="19"/>
        <v>-2249</v>
      </c>
      <c r="AZ27" s="65">
        <f t="shared" si="20"/>
        <v>-2416</v>
      </c>
      <c r="BA27" s="65">
        <f t="shared" si="20"/>
        <v>-2701</v>
      </c>
      <c r="BB27" s="65">
        <f t="shared" si="12"/>
        <v>-2775</v>
      </c>
      <c r="BC27" s="65">
        <f t="shared" si="13"/>
        <v>-2802</v>
      </c>
      <c r="BD27" s="65">
        <f t="shared" si="13"/>
        <v>-2805</v>
      </c>
    </row>
    <row r="28" spans="1:56" ht="12.75">
      <c r="A28" s="2" t="s">
        <v>108</v>
      </c>
      <c r="C28" s="16"/>
      <c r="D28" s="65">
        <f t="shared" si="23"/>
        <v>-48.8592</v>
      </c>
      <c r="E28" s="65">
        <f t="shared" si="23"/>
        <v>0</v>
      </c>
      <c r="F28" s="65">
        <f t="shared" si="23"/>
        <v>0</v>
      </c>
      <c r="G28" s="65">
        <f t="shared" si="23"/>
        <v>0</v>
      </c>
      <c r="H28" s="65">
        <f t="shared" si="23"/>
        <v>0</v>
      </c>
      <c r="I28" s="65">
        <f t="shared" si="23"/>
        <v>-401</v>
      </c>
      <c r="J28" s="65">
        <f t="shared" si="23"/>
        <v>-540</v>
      </c>
      <c r="K28" s="65">
        <f t="shared" si="23"/>
        <v>-466</v>
      </c>
      <c r="L28" s="65">
        <f>L43-L13</f>
        <v>-526</v>
      </c>
      <c r="M28" s="65">
        <f t="shared" si="24"/>
        <v>-455</v>
      </c>
      <c r="N28" s="65">
        <f t="shared" si="24"/>
        <v>-412</v>
      </c>
      <c r="O28" s="65">
        <v>-310</v>
      </c>
      <c r="P28" s="67">
        <v>-337</v>
      </c>
      <c r="Q28" s="67">
        <v>-345</v>
      </c>
      <c r="R28" s="67">
        <v>-449</v>
      </c>
      <c r="S28" s="67">
        <v>-481</v>
      </c>
      <c r="T28" s="58">
        <v>-460</v>
      </c>
      <c r="U28" s="58">
        <v>-553</v>
      </c>
      <c r="V28" s="58">
        <f aca="true" t="shared" si="27" ref="V28:AG28">V43-V13</f>
        <v>-426</v>
      </c>
      <c r="W28" s="58">
        <f t="shared" si="27"/>
        <v>-450</v>
      </c>
      <c r="X28" s="66">
        <f t="shared" si="27"/>
        <v>-424</v>
      </c>
      <c r="Y28" s="66">
        <f t="shared" si="27"/>
        <v>-402</v>
      </c>
      <c r="Z28" s="66">
        <f t="shared" si="27"/>
        <v>-564</v>
      </c>
      <c r="AA28" s="66">
        <f t="shared" si="27"/>
        <v>-518</v>
      </c>
      <c r="AB28" s="66">
        <f t="shared" si="27"/>
        <v>-1001</v>
      </c>
      <c r="AC28" s="66">
        <f t="shared" si="27"/>
        <v>-1293</v>
      </c>
      <c r="AD28" s="66">
        <f t="shared" si="27"/>
        <v>-983</v>
      </c>
      <c r="AE28" s="66">
        <f t="shared" si="27"/>
        <v>-963</v>
      </c>
      <c r="AF28" s="66">
        <f t="shared" si="27"/>
        <v>-824</v>
      </c>
      <c r="AG28" s="66">
        <f t="shared" si="27"/>
        <v>-1112</v>
      </c>
      <c r="AH28" s="66">
        <v>-939</v>
      </c>
      <c r="AI28" s="66">
        <f t="shared" si="8"/>
        <v>-1366</v>
      </c>
      <c r="AJ28" s="66">
        <f t="shared" si="8"/>
        <v>-1125</v>
      </c>
      <c r="AK28" s="66">
        <f t="shared" si="8"/>
        <v>-977</v>
      </c>
      <c r="AL28" s="66">
        <f t="shared" si="8"/>
        <v>-975</v>
      </c>
      <c r="AM28" s="66">
        <f t="shared" si="8"/>
        <v>-1285</v>
      </c>
      <c r="AN28" s="66">
        <f t="shared" si="8"/>
        <v>-1164</v>
      </c>
      <c r="AO28" s="66">
        <f t="shared" si="8"/>
        <v>-738</v>
      </c>
      <c r="AP28" s="66">
        <f t="shared" si="9"/>
        <v>-866</v>
      </c>
      <c r="AQ28" s="66">
        <f t="shared" si="9"/>
        <v>-859</v>
      </c>
      <c r="AR28" s="66">
        <f t="shared" si="10"/>
        <v>-979</v>
      </c>
      <c r="AS28" s="66">
        <f>+-(AS13-4327)</f>
        <v>-1136</v>
      </c>
      <c r="AT28" s="65">
        <f t="shared" si="16"/>
        <v>-953</v>
      </c>
      <c r="AU28" s="67">
        <v>-981</v>
      </c>
      <c r="AV28" s="67">
        <f t="shared" si="17"/>
        <v>-899</v>
      </c>
      <c r="AW28" s="67">
        <f t="shared" si="18"/>
        <v>-2001</v>
      </c>
      <c r="AX28" s="67">
        <f t="shared" si="18"/>
        <v>-916</v>
      </c>
      <c r="AY28" s="67">
        <f t="shared" si="19"/>
        <v>-1047</v>
      </c>
      <c r="AZ28" s="65">
        <f t="shared" si="20"/>
        <v>-2562</v>
      </c>
      <c r="BA28" s="65">
        <f t="shared" si="20"/>
        <v>-1269</v>
      </c>
      <c r="BB28" s="65">
        <f t="shared" si="12"/>
        <v>-908</v>
      </c>
      <c r="BC28" s="65">
        <f t="shared" si="13"/>
        <v>-887</v>
      </c>
      <c r="BD28" s="65">
        <f t="shared" si="13"/>
        <v>-897</v>
      </c>
    </row>
    <row r="29" spans="1:56" ht="12.75">
      <c r="A29" s="2" t="s">
        <v>180</v>
      </c>
      <c r="C29" s="16"/>
      <c r="D29" s="65"/>
      <c r="E29" s="65"/>
      <c r="F29" s="65"/>
      <c r="G29" s="65"/>
      <c r="H29" s="65"/>
      <c r="I29" s="65"/>
      <c r="J29" s="65"/>
      <c r="K29" s="66">
        <v>0</v>
      </c>
      <c r="L29" s="66">
        <v>0</v>
      </c>
      <c r="M29" s="66">
        <v>0</v>
      </c>
      <c r="N29" s="66">
        <v>0</v>
      </c>
      <c r="O29" s="66">
        <v>0</v>
      </c>
      <c r="P29" s="66">
        <v>0</v>
      </c>
      <c r="Q29" s="66">
        <v>0</v>
      </c>
      <c r="R29" s="66">
        <v>0</v>
      </c>
      <c r="S29" s="66">
        <v>0</v>
      </c>
      <c r="T29" s="66">
        <v>0</v>
      </c>
      <c r="U29" s="66">
        <v>0</v>
      </c>
      <c r="V29" s="66">
        <v>0</v>
      </c>
      <c r="W29" s="66">
        <v>0</v>
      </c>
      <c r="X29" s="66">
        <v>0</v>
      </c>
      <c r="Y29" s="66">
        <f aca="true" t="shared" si="28" ref="Y29:AA30">Y44-Y14</f>
        <v>0</v>
      </c>
      <c r="Z29" s="66">
        <f t="shared" si="28"/>
        <v>0</v>
      </c>
      <c r="AA29" s="66">
        <f t="shared" si="28"/>
        <v>0</v>
      </c>
      <c r="AB29" s="66">
        <f aca="true" t="shared" si="29" ref="AB29:AH33">AB44-AB14</f>
        <v>0</v>
      </c>
      <c r="AC29" s="66">
        <f t="shared" si="29"/>
        <v>0</v>
      </c>
      <c r="AD29" s="66">
        <f t="shared" si="29"/>
        <v>0</v>
      </c>
      <c r="AE29" s="66">
        <f t="shared" si="29"/>
        <v>0</v>
      </c>
      <c r="AF29" s="66">
        <f t="shared" si="29"/>
        <v>0</v>
      </c>
      <c r="AG29" s="66">
        <f t="shared" si="29"/>
        <v>0</v>
      </c>
      <c r="AH29" s="66">
        <f t="shared" si="29"/>
        <v>0</v>
      </c>
      <c r="AI29" s="66">
        <f t="shared" si="8"/>
        <v>0</v>
      </c>
      <c r="AJ29" s="66">
        <f t="shared" si="8"/>
        <v>0</v>
      </c>
      <c r="AK29" s="66">
        <f t="shared" si="8"/>
        <v>0</v>
      </c>
      <c r="AL29" s="66">
        <f t="shared" si="8"/>
        <v>0</v>
      </c>
      <c r="AM29" s="66">
        <f t="shared" si="8"/>
        <v>0</v>
      </c>
      <c r="AN29" s="66">
        <f t="shared" si="8"/>
        <v>0</v>
      </c>
      <c r="AO29" s="66">
        <f t="shared" si="8"/>
        <v>-514</v>
      </c>
      <c r="AP29" s="66">
        <f t="shared" si="9"/>
        <v>-1123</v>
      </c>
      <c r="AQ29" s="66">
        <f t="shared" si="9"/>
        <v>-1185</v>
      </c>
      <c r="AR29" s="66">
        <f t="shared" si="10"/>
        <v>-1192</v>
      </c>
      <c r="AS29" s="66">
        <f>+-(AS14-4366)</f>
        <v>-1188</v>
      </c>
      <c r="AT29" s="65">
        <f t="shared" si="16"/>
        <v>-1288</v>
      </c>
      <c r="AU29" s="67">
        <v>-1450</v>
      </c>
      <c r="AV29" s="67">
        <f t="shared" si="17"/>
        <v>-1404</v>
      </c>
      <c r="AW29" s="67">
        <f t="shared" si="18"/>
        <v>-1341</v>
      </c>
      <c r="AX29" s="67">
        <f t="shared" si="18"/>
        <v>-1408</v>
      </c>
      <c r="AY29" s="67">
        <f t="shared" si="19"/>
        <v>-1391</v>
      </c>
      <c r="AZ29" s="65">
        <f t="shared" si="20"/>
        <v>-1334</v>
      </c>
      <c r="BA29" s="65">
        <f t="shared" si="20"/>
        <v>-1454</v>
      </c>
      <c r="BB29" s="65">
        <f t="shared" si="12"/>
        <v>-1498</v>
      </c>
      <c r="BC29" s="65">
        <f t="shared" si="12"/>
        <v>-1495</v>
      </c>
      <c r="BD29" s="65">
        <f aca="true" t="shared" si="30" ref="BD29:BD34">BD44-BD14</f>
        <v>-1464</v>
      </c>
    </row>
    <row r="30" spans="1:56" ht="12.75">
      <c r="A30" s="2" t="s">
        <v>138</v>
      </c>
      <c r="C30" s="2"/>
      <c r="D30" s="65">
        <f aca="true" t="shared" si="31" ref="D30:N30">D45-D15</f>
        <v>-74.2284</v>
      </c>
      <c r="E30" s="65">
        <f t="shared" si="31"/>
        <v>0</v>
      </c>
      <c r="F30" s="65">
        <f t="shared" si="31"/>
        <v>0</v>
      </c>
      <c r="G30" s="65">
        <f t="shared" si="31"/>
        <v>0</v>
      </c>
      <c r="H30" s="65">
        <f t="shared" si="31"/>
        <v>0</v>
      </c>
      <c r="I30" s="65">
        <f t="shared" si="31"/>
        <v>-330</v>
      </c>
      <c r="J30" s="65">
        <f t="shared" si="31"/>
        <v>-698</v>
      </c>
      <c r="K30" s="65">
        <f t="shared" si="31"/>
        <v>-961</v>
      </c>
      <c r="L30" s="65">
        <f t="shared" si="31"/>
        <v>-895</v>
      </c>
      <c r="M30" s="65">
        <f t="shared" si="31"/>
        <v>-849</v>
      </c>
      <c r="N30" s="65">
        <f t="shared" si="31"/>
        <v>-929</v>
      </c>
      <c r="O30" s="65">
        <v>-765</v>
      </c>
      <c r="P30" s="67">
        <v>-848</v>
      </c>
      <c r="Q30" s="67">
        <v>-908</v>
      </c>
      <c r="R30" s="67">
        <v>-880</v>
      </c>
      <c r="S30" s="67">
        <v>-832</v>
      </c>
      <c r="T30" s="58">
        <v>-866</v>
      </c>
      <c r="U30" s="58">
        <v>-1110</v>
      </c>
      <c r="V30" s="58">
        <f aca="true" t="shared" si="32" ref="V30:W33">V45-V15</f>
        <v>-882</v>
      </c>
      <c r="W30" s="58">
        <f t="shared" si="32"/>
        <v>-173</v>
      </c>
      <c r="X30" s="67">
        <v>0</v>
      </c>
      <c r="Y30" s="66">
        <f t="shared" si="28"/>
        <v>0</v>
      </c>
      <c r="Z30" s="66">
        <f t="shared" si="28"/>
        <v>0</v>
      </c>
      <c r="AA30" s="66">
        <f t="shared" si="28"/>
        <v>0</v>
      </c>
      <c r="AB30" s="66">
        <f t="shared" si="29"/>
        <v>0</v>
      </c>
      <c r="AC30" s="66">
        <f t="shared" si="29"/>
        <v>0</v>
      </c>
      <c r="AD30" s="66">
        <f t="shared" si="29"/>
        <v>0</v>
      </c>
      <c r="AE30" s="66">
        <f t="shared" si="29"/>
        <v>0</v>
      </c>
      <c r="AF30" s="66">
        <f t="shared" si="29"/>
        <v>0</v>
      </c>
      <c r="AG30" s="66">
        <f t="shared" si="29"/>
        <v>0</v>
      </c>
      <c r="AH30" s="66">
        <f t="shared" si="29"/>
        <v>0</v>
      </c>
      <c r="AI30" s="66">
        <f t="shared" si="8"/>
        <v>0</v>
      </c>
      <c r="AJ30" s="66">
        <f t="shared" si="8"/>
        <v>0</v>
      </c>
      <c r="AK30" s="66">
        <f t="shared" si="8"/>
        <v>0</v>
      </c>
      <c r="AL30" s="66">
        <f t="shared" si="8"/>
        <v>0</v>
      </c>
      <c r="AM30" s="66">
        <f t="shared" si="8"/>
        <v>0</v>
      </c>
      <c r="AN30" s="66">
        <f t="shared" si="8"/>
        <v>0</v>
      </c>
      <c r="AO30" s="66">
        <f t="shared" si="8"/>
        <v>0</v>
      </c>
      <c r="AP30" s="66">
        <f t="shared" si="9"/>
        <v>0</v>
      </c>
      <c r="AQ30" s="66">
        <f t="shared" si="9"/>
        <v>0</v>
      </c>
      <c r="AR30" s="66">
        <f t="shared" si="10"/>
        <v>0</v>
      </c>
      <c r="AS30" s="66">
        <f t="shared" si="10"/>
        <v>0</v>
      </c>
      <c r="AT30" s="65">
        <f t="shared" si="16"/>
        <v>0</v>
      </c>
      <c r="AU30" s="67">
        <v>0</v>
      </c>
      <c r="AV30" s="67">
        <f t="shared" si="17"/>
        <v>0</v>
      </c>
      <c r="AW30" s="67">
        <f t="shared" si="17"/>
        <v>0</v>
      </c>
      <c r="AX30" s="67">
        <f>AX45-AX15</f>
        <v>0</v>
      </c>
      <c r="AY30" s="67">
        <f t="shared" si="19"/>
        <v>0</v>
      </c>
      <c r="AZ30" s="65">
        <f t="shared" si="19"/>
        <v>0</v>
      </c>
      <c r="BA30" s="65">
        <f>BA45-BA15</f>
        <v>0</v>
      </c>
      <c r="BB30" s="65">
        <f t="shared" si="12"/>
        <v>0</v>
      </c>
      <c r="BC30" s="65">
        <f t="shared" si="12"/>
        <v>0</v>
      </c>
      <c r="BD30" s="65">
        <f t="shared" si="30"/>
        <v>0</v>
      </c>
    </row>
    <row r="31" spans="1:56" ht="12.75">
      <c r="A31" s="2" t="s">
        <v>110</v>
      </c>
      <c r="C31" s="2"/>
      <c r="D31" s="65">
        <f aca="true" t="shared" si="33" ref="D31:N31">D46-D16</f>
        <v>-22.3938</v>
      </c>
      <c r="E31" s="65">
        <f t="shared" si="33"/>
        <v>0</v>
      </c>
      <c r="F31" s="65">
        <f t="shared" si="33"/>
        <v>0</v>
      </c>
      <c r="G31" s="65">
        <f t="shared" si="33"/>
        <v>0</v>
      </c>
      <c r="H31" s="65">
        <f t="shared" si="33"/>
        <v>0</v>
      </c>
      <c r="I31" s="65">
        <f t="shared" si="33"/>
        <v>0</v>
      </c>
      <c r="J31" s="65">
        <f t="shared" si="33"/>
        <v>-121</v>
      </c>
      <c r="K31" s="65">
        <f t="shared" si="33"/>
        <v>-150</v>
      </c>
      <c r="L31" s="67">
        <f t="shared" si="33"/>
        <v>-152</v>
      </c>
      <c r="M31" s="65">
        <f t="shared" si="33"/>
        <v>-160</v>
      </c>
      <c r="N31" s="65">
        <f t="shared" si="33"/>
        <v>-174</v>
      </c>
      <c r="O31" s="65">
        <v>-156</v>
      </c>
      <c r="P31" s="67">
        <v>-136</v>
      </c>
      <c r="Q31" s="67">
        <v>-149</v>
      </c>
      <c r="R31" s="67">
        <v>-135</v>
      </c>
      <c r="S31" s="67">
        <v>-135</v>
      </c>
      <c r="T31" s="58">
        <v>-128</v>
      </c>
      <c r="U31" s="58">
        <v>-160</v>
      </c>
      <c r="V31" s="58">
        <f t="shared" si="32"/>
        <v>-126</v>
      </c>
      <c r="W31" s="58">
        <f t="shared" si="32"/>
        <v>-124</v>
      </c>
      <c r="X31" s="66">
        <f aca="true" t="shared" si="34" ref="X31:AA33">X46-X16</f>
        <v>-150</v>
      </c>
      <c r="Y31" s="66">
        <f t="shared" si="34"/>
        <v>-151</v>
      </c>
      <c r="Z31" s="66">
        <f t="shared" si="34"/>
        <v>-139</v>
      </c>
      <c r="AA31" s="66">
        <f t="shared" si="34"/>
        <v>-127</v>
      </c>
      <c r="AB31" s="66">
        <f t="shared" si="29"/>
        <v>-126</v>
      </c>
      <c r="AC31" s="66">
        <f t="shared" si="29"/>
        <v>-144</v>
      </c>
      <c r="AD31" s="66">
        <f t="shared" si="29"/>
        <v>-35</v>
      </c>
      <c r="AE31" s="66">
        <f t="shared" si="29"/>
        <v>0</v>
      </c>
      <c r="AF31" s="66">
        <f t="shared" si="29"/>
        <v>0</v>
      </c>
      <c r="AG31" s="66">
        <f t="shared" si="29"/>
        <v>0</v>
      </c>
      <c r="AH31" s="66">
        <f t="shared" si="29"/>
        <v>0</v>
      </c>
      <c r="AI31" s="66">
        <f t="shared" si="8"/>
        <v>0</v>
      </c>
      <c r="AJ31" s="66">
        <f t="shared" si="8"/>
        <v>0</v>
      </c>
      <c r="AK31" s="66">
        <f t="shared" si="8"/>
        <v>0</v>
      </c>
      <c r="AL31" s="66">
        <f t="shared" si="8"/>
        <v>0</v>
      </c>
      <c r="AM31" s="66">
        <f t="shared" si="8"/>
        <v>0</v>
      </c>
      <c r="AN31" s="66">
        <f t="shared" si="8"/>
        <v>0</v>
      </c>
      <c r="AO31" s="66">
        <f t="shared" si="8"/>
        <v>0</v>
      </c>
      <c r="AP31" s="66">
        <f t="shared" si="9"/>
        <v>0</v>
      </c>
      <c r="AQ31" s="66">
        <f t="shared" si="9"/>
        <v>0</v>
      </c>
      <c r="AR31" s="66">
        <f t="shared" si="10"/>
        <v>0</v>
      </c>
      <c r="AS31" s="66">
        <f t="shared" si="10"/>
        <v>0</v>
      </c>
      <c r="AT31" s="65">
        <f t="shared" si="16"/>
        <v>0</v>
      </c>
      <c r="AU31" s="67">
        <v>0</v>
      </c>
      <c r="AV31" s="67">
        <f t="shared" si="17"/>
        <v>0</v>
      </c>
      <c r="AW31" s="67">
        <f t="shared" si="17"/>
        <v>0</v>
      </c>
      <c r="AX31" s="67">
        <f>AX46-AX16</f>
        <v>0</v>
      </c>
      <c r="AY31" s="67">
        <f t="shared" si="19"/>
        <v>0</v>
      </c>
      <c r="AZ31" s="65">
        <f t="shared" si="19"/>
        <v>0</v>
      </c>
      <c r="BA31" s="65">
        <f>BA46-BA16</f>
        <v>0</v>
      </c>
      <c r="BB31" s="65">
        <f t="shared" si="12"/>
        <v>0</v>
      </c>
      <c r="BC31" s="65">
        <f t="shared" si="12"/>
        <v>0</v>
      </c>
      <c r="BD31" s="65">
        <f t="shared" si="30"/>
        <v>0</v>
      </c>
    </row>
    <row r="32" spans="1:56" ht="12.75">
      <c r="A32" s="6" t="s">
        <v>109</v>
      </c>
      <c r="C32" s="2"/>
      <c r="D32" s="65">
        <f aca="true" t="shared" si="35" ref="D32:N32">D47-D17</f>
        <v>-37.8972</v>
      </c>
      <c r="E32" s="65">
        <f t="shared" si="35"/>
        <v>0</v>
      </c>
      <c r="F32" s="65">
        <f t="shared" si="35"/>
        <v>0</v>
      </c>
      <c r="G32" s="65">
        <f t="shared" si="35"/>
        <v>0</v>
      </c>
      <c r="H32" s="65">
        <f t="shared" si="35"/>
        <v>0</v>
      </c>
      <c r="I32" s="65">
        <f t="shared" si="35"/>
        <v>0</v>
      </c>
      <c r="J32" s="65">
        <f t="shared" si="35"/>
        <v>-493</v>
      </c>
      <c r="K32" s="65">
        <f t="shared" si="35"/>
        <v>-620</v>
      </c>
      <c r="L32" s="65">
        <f t="shared" si="35"/>
        <v>-584</v>
      </c>
      <c r="M32" s="65">
        <f t="shared" si="35"/>
        <v>-664</v>
      </c>
      <c r="N32" s="65">
        <f t="shared" si="35"/>
        <v>-723</v>
      </c>
      <c r="O32" s="65">
        <v>-643</v>
      </c>
      <c r="P32" s="67">
        <v>-611</v>
      </c>
      <c r="Q32" s="67">
        <v>-646</v>
      </c>
      <c r="R32" s="67">
        <v>-748</v>
      </c>
      <c r="S32" s="67">
        <v>-548</v>
      </c>
      <c r="T32" s="58">
        <v>-569</v>
      </c>
      <c r="U32" s="58">
        <v>-732</v>
      </c>
      <c r="V32" s="58">
        <f t="shared" si="32"/>
        <v>-599</v>
      </c>
      <c r="W32" s="58">
        <f t="shared" si="32"/>
        <v>-578</v>
      </c>
      <c r="X32" s="66">
        <f t="shared" si="34"/>
        <v>-580</v>
      </c>
      <c r="Y32" s="66">
        <f t="shared" si="34"/>
        <v>-782</v>
      </c>
      <c r="Z32" s="66">
        <f t="shared" si="34"/>
        <v>-648</v>
      </c>
      <c r="AA32" s="66">
        <f t="shared" si="34"/>
        <v>-761</v>
      </c>
      <c r="AB32" s="66">
        <f t="shared" si="29"/>
        <v>-557</v>
      </c>
      <c r="AC32" s="66">
        <f t="shared" si="29"/>
        <v>-756</v>
      </c>
      <c r="AD32" s="66">
        <f t="shared" si="29"/>
        <v>-192</v>
      </c>
      <c r="AE32" s="66">
        <f t="shared" si="29"/>
        <v>0</v>
      </c>
      <c r="AF32" s="66">
        <f t="shared" si="29"/>
        <v>0</v>
      </c>
      <c r="AG32" s="66">
        <f t="shared" si="29"/>
        <v>0</v>
      </c>
      <c r="AH32" s="66">
        <f t="shared" si="29"/>
        <v>0</v>
      </c>
      <c r="AI32" s="66">
        <f t="shared" si="8"/>
        <v>0</v>
      </c>
      <c r="AJ32" s="66">
        <f t="shared" si="8"/>
        <v>0</v>
      </c>
      <c r="AK32" s="66">
        <f t="shared" si="8"/>
        <v>0</v>
      </c>
      <c r="AL32" s="66">
        <f t="shared" si="8"/>
        <v>0</v>
      </c>
      <c r="AM32" s="66">
        <f t="shared" si="8"/>
        <v>0</v>
      </c>
      <c r="AN32" s="66">
        <f t="shared" si="8"/>
        <v>0</v>
      </c>
      <c r="AO32" s="66">
        <f t="shared" si="8"/>
        <v>0</v>
      </c>
      <c r="AP32" s="66">
        <f t="shared" si="9"/>
        <v>0</v>
      </c>
      <c r="AQ32" s="66">
        <f t="shared" si="9"/>
        <v>0</v>
      </c>
      <c r="AR32" s="66">
        <f t="shared" si="10"/>
        <v>0</v>
      </c>
      <c r="AS32" s="66">
        <f t="shared" si="10"/>
        <v>0</v>
      </c>
      <c r="AT32" s="65">
        <f t="shared" si="16"/>
        <v>0</v>
      </c>
      <c r="AU32" s="67">
        <v>0</v>
      </c>
      <c r="AV32" s="67">
        <f t="shared" si="17"/>
        <v>0</v>
      </c>
      <c r="AW32" s="67">
        <f t="shared" si="17"/>
        <v>0</v>
      </c>
      <c r="AX32" s="67">
        <f>AX47-AX17</f>
        <v>0</v>
      </c>
      <c r="AY32" s="67">
        <f t="shared" si="19"/>
        <v>0</v>
      </c>
      <c r="AZ32" s="65">
        <f t="shared" si="19"/>
        <v>0</v>
      </c>
      <c r="BA32" s="65">
        <f>BA47-BA17</f>
        <v>0</v>
      </c>
      <c r="BB32" s="65">
        <f t="shared" si="12"/>
        <v>0</v>
      </c>
      <c r="BC32" s="65">
        <f t="shared" si="12"/>
        <v>0</v>
      </c>
      <c r="BD32" s="65">
        <f t="shared" si="30"/>
        <v>0</v>
      </c>
    </row>
    <row r="33" spans="1:56" ht="12.75">
      <c r="A33" s="2" t="s">
        <v>111</v>
      </c>
      <c r="C33" s="2"/>
      <c r="D33" s="65">
        <f aca="true" t="shared" si="36" ref="D33:N33">D48-D18</f>
        <v>-29.878152</v>
      </c>
      <c r="E33" s="65">
        <f t="shared" si="36"/>
        <v>0</v>
      </c>
      <c r="F33" s="65">
        <f t="shared" si="36"/>
        <v>0</v>
      </c>
      <c r="G33" s="65">
        <f t="shared" si="36"/>
        <v>0</v>
      </c>
      <c r="H33" s="65">
        <f t="shared" si="36"/>
        <v>0</v>
      </c>
      <c r="I33" s="65">
        <f t="shared" si="36"/>
        <v>-1</v>
      </c>
      <c r="J33" s="65">
        <f t="shared" si="36"/>
        <v>-68</v>
      </c>
      <c r="K33" s="65">
        <f t="shared" si="36"/>
        <v>-122</v>
      </c>
      <c r="L33" s="65">
        <f t="shared" si="36"/>
        <v>-117</v>
      </c>
      <c r="M33" s="65">
        <f t="shared" si="36"/>
        <v>-121</v>
      </c>
      <c r="N33" s="65">
        <f t="shared" si="36"/>
        <v>-216</v>
      </c>
      <c r="O33" s="65">
        <v>-92</v>
      </c>
      <c r="P33" s="67">
        <v>-90</v>
      </c>
      <c r="Q33" s="67">
        <v>-92</v>
      </c>
      <c r="R33" s="67">
        <v>-98</v>
      </c>
      <c r="S33" s="67">
        <v>-87</v>
      </c>
      <c r="T33" s="58">
        <v>-97</v>
      </c>
      <c r="U33" s="58">
        <v>-102</v>
      </c>
      <c r="V33" s="58">
        <f t="shared" si="32"/>
        <v>-102</v>
      </c>
      <c r="W33" s="58">
        <f t="shared" si="32"/>
        <v>-87</v>
      </c>
      <c r="X33" s="66">
        <f t="shared" si="34"/>
        <v>-116</v>
      </c>
      <c r="Y33" s="66">
        <f t="shared" si="34"/>
        <v>-97</v>
      </c>
      <c r="Z33" s="66">
        <f t="shared" si="34"/>
        <v>-97</v>
      </c>
      <c r="AA33" s="66">
        <f t="shared" si="34"/>
        <v>-95</v>
      </c>
      <c r="AB33" s="66">
        <f t="shared" si="29"/>
        <v>-92</v>
      </c>
      <c r="AC33" s="66">
        <f t="shared" si="29"/>
        <v>-86</v>
      </c>
      <c r="AD33" s="66">
        <f t="shared" si="29"/>
        <v>-19</v>
      </c>
      <c r="AE33" s="66">
        <f t="shared" si="29"/>
        <v>0</v>
      </c>
      <c r="AF33" s="66">
        <f t="shared" si="29"/>
        <v>0</v>
      </c>
      <c r="AG33" s="66">
        <f t="shared" si="29"/>
        <v>0</v>
      </c>
      <c r="AH33" s="66">
        <f t="shared" si="29"/>
        <v>0</v>
      </c>
      <c r="AI33" s="66">
        <f t="shared" si="8"/>
        <v>0</v>
      </c>
      <c r="AJ33" s="66">
        <f t="shared" si="8"/>
        <v>0</v>
      </c>
      <c r="AK33" s="66">
        <f t="shared" si="8"/>
        <v>0</v>
      </c>
      <c r="AL33" s="66">
        <f t="shared" si="8"/>
        <v>0</v>
      </c>
      <c r="AM33" s="66">
        <f t="shared" si="8"/>
        <v>0</v>
      </c>
      <c r="AN33" s="66">
        <f t="shared" si="8"/>
        <v>0</v>
      </c>
      <c r="AO33" s="66">
        <f t="shared" si="8"/>
        <v>0</v>
      </c>
      <c r="AP33" s="66">
        <f t="shared" si="9"/>
        <v>0</v>
      </c>
      <c r="AQ33" s="66">
        <f t="shared" si="9"/>
        <v>0</v>
      </c>
      <c r="AR33" s="66">
        <f t="shared" si="10"/>
        <v>0</v>
      </c>
      <c r="AS33" s="66">
        <f t="shared" si="10"/>
        <v>0</v>
      </c>
      <c r="AT33" s="65">
        <f t="shared" si="16"/>
        <v>0</v>
      </c>
      <c r="AU33" s="67">
        <v>0</v>
      </c>
      <c r="AV33" s="67">
        <f t="shared" si="17"/>
        <v>0</v>
      </c>
      <c r="AW33" s="67">
        <f t="shared" si="17"/>
        <v>0</v>
      </c>
      <c r="AX33" s="67">
        <f>AX48-AX18</f>
        <v>0</v>
      </c>
      <c r="AY33" s="67">
        <f t="shared" si="19"/>
        <v>0</v>
      </c>
      <c r="AZ33" s="65">
        <f t="shared" si="19"/>
        <v>0</v>
      </c>
      <c r="BA33" s="65">
        <f>BA48-BA18</f>
        <v>0</v>
      </c>
      <c r="BB33" s="65">
        <f t="shared" si="12"/>
        <v>0</v>
      </c>
      <c r="BC33" s="65">
        <f t="shared" si="12"/>
        <v>0</v>
      </c>
      <c r="BD33" s="65">
        <f t="shared" si="30"/>
        <v>0</v>
      </c>
    </row>
    <row r="34" spans="1:56" ht="12.75">
      <c r="A34" s="2" t="s">
        <v>31</v>
      </c>
      <c r="C34" s="2"/>
      <c r="D34" s="65">
        <f aca="true" t="shared" si="37" ref="D34:L34">D49-D19</f>
        <v>0</v>
      </c>
      <c r="E34" s="65">
        <f t="shared" si="37"/>
        <v>-13</v>
      </c>
      <c r="F34" s="65">
        <f t="shared" si="37"/>
        <v>12</v>
      </c>
      <c r="G34" s="65">
        <f t="shared" si="37"/>
        <v>0</v>
      </c>
      <c r="H34" s="65">
        <f t="shared" si="37"/>
        <v>0</v>
      </c>
      <c r="I34" s="65">
        <f t="shared" si="37"/>
        <v>0</v>
      </c>
      <c r="J34" s="65">
        <f t="shared" si="37"/>
        <v>1</v>
      </c>
      <c r="K34" s="65">
        <f t="shared" si="37"/>
        <v>0</v>
      </c>
      <c r="L34" s="65">
        <f t="shared" si="37"/>
        <v>0</v>
      </c>
      <c r="M34" s="65">
        <v>0</v>
      </c>
      <c r="N34" s="65">
        <f>N49-N19</f>
        <v>0</v>
      </c>
      <c r="O34" s="65">
        <v>0</v>
      </c>
      <c r="P34" s="67">
        <v>0</v>
      </c>
      <c r="Q34" s="67">
        <v>0</v>
      </c>
      <c r="R34" s="65">
        <v>0</v>
      </c>
      <c r="S34" s="58">
        <v>0</v>
      </c>
      <c r="T34" s="58">
        <v>0</v>
      </c>
      <c r="U34" s="58">
        <v>0</v>
      </c>
      <c r="V34" s="58"/>
      <c r="W34" s="58">
        <v>0</v>
      </c>
      <c r="X34" s="66">
        <v>0</v>
      </c>
      <c r="Y34" s="66">
        <v>0</v>
      </c>
      <c r="Z34" s="66">
        <v>0</v>
      </c>
      <c r="AA34" s="66">
        <v>0</v>
      </c>
      <c r="AB34" s="66">
        <v>0</v>
      </c>
      <c r="AC34" s="66">
        <v>0</v>
      </c>
      <c r="AD34" s="66">
        <v>0</v>
      </c>
      <c r="AE34" s="66">
        <v>0</v>
      </c>
      <c r="AF34" s="66">
        <v>0</v>
      </c>
      <c r="AG34" s="66">
        <v>0</v>
      </c>
      <c r="AH34" s="66">
        <v>0</v>
      </c>
      <c r="AI34" s="66">
        <v>0</v>
      </c>
      <c r="AJ34" s="66">
        <v>0</v>
      </c>
      <c r="AK34" s="66">
        <f>AK49-AK19</f>
        <v>0</v>
      </c>
      <c r="AL34" s="66">
        <f>AL49-AL19</f>
        <v>0</v>
      </c>
      <c r="AM34" s="66">
        <f>AM49-AM19</f>
        <v>0</v>
      </c>
      <c r="AN34" s="66">
        <f>AN49-AN19</f>
        <v>0</v>
      </c>
      <c r="AO34" s="66">
        <f>AO49-AO19</f>
        <v>0</v>
      </c>
      <c r="AP34" s="66">
        <f t="shared" si="9"/>
        <v>0</v>
      </c>
      <c r="AQ34" s="66">
        <f t="shared" si="9"/>
        <v>0</v>
      </c>
      <c r="AR34" s="66">
        <f t="shared" si="10"/>
        <v>0</v>
      </c>
      <c r="AS34" s="66">
        <f t="shared" si="10"/>
        <v>0</v>
      </c>
      <c r="AT34" s="65">
        <f t="shared" si="16"/>
        <v>0</v>
      </c>
      <c r="AU34" s="67">
        <v>0</v>
      </c>
      <c r="AV34" s="67">
        <f t="shared" si="17"/>
        <v>0</v>
      </c>
      <c r="AW34" s="67">
        <f t="shared" si="17"/>
        <v>0</v>
      </c>
      <c r="AX34" s="67">
        <f>AX49-AX19</f>
        <v>0</v>
      </c>
      <c r="AY34" s="67">
        <f t="shared" si="19"/>
        <v>0</v>
      </c>
      <c r="AZ34" s="65">
        <f t="shared" si="19"/>
        <v>0</v>
      </c>
      <c r="BA34" s="65">
        <f>BA49-BA19</f>
        <v>0</v>
      </c>
      <c r="BB34" s="65">
        <f t="shared" si="12"/>
        <v>0</v>
      </c>
      <c r="BC34" s="65">
        <f t="shared" si="12"/>
        <v>0</v>
      </c>
      <c r="BD34" s="65">
        <f t="shared" si="30"/>
        <v>0</v>
      </c>
    </row>
    <row r="35" spans="1:56" ht="13.5" thickBot="1">
      <c r="A35" s="2" t="s">
        <v>29</v>
      </c>
      <c r="C35" s="2"/>
      <c r="D35" s="59">
        <f>SUM(D23:D34)</f>
        <v>7444.911247999999</v>
      </c>
      <c r="E35" s="59">
        <f>SUM(E23:E34)</f>
        <v>-2038</v>
      </c>
      <c r="F35" s="59">
        <f aca="true" t="shared" si="38" ref="F35:S35">SUM(F23:F34)</f>
        <v>-2112</v>
      </c>
      <c r="G35" s="59">
        <f t="shared" si="38"/>
        <v>-2022</v>
      </c>
      <c r="H35" s="59">
        <f t="shared" si="38"/>
        <v>-2376</v>
      </c>
      <c r="I35" s="59">
        <f t="shared" si="38"/>
        <v>-3407</v>
      </c>
      <c r="J35" s="59">
        <f t="shared" si="38"/>
        <v>-6021</v>
      </c>
      <c r="K35" s="59">
        <f t="shared" si="38"/>
        <v>-6356</v>
      </c>
      <c r="L35" s="59">
        <f t="shared" si="38"/>
        <v>-6815</v>
      </c>
      <c r="M35" s="59">
        <f t="shared" si="38"/>
        <v>-6495</v>
      </c>
      <c r="N35" s="59">
        <f t="shared" si="38"/>
        <v>-6329</v>
      </c>
      <c r="O35" s="59">
        <f t="shared" si="38"/>
        <v>-5294</v>
      </c>
      <c r="P35" s="59">
        <f t="shared" si="38"/>
        <v>-5600</v>
      </c>
      <c r="Q35" s="59">
        <f t="shared" si="38"/>
        <v>-5719</v>
      </c>
      <c r="R35" s="59">
        <f t="shared" si="38"/>
        <v>-6147</v>
      </c>
      <c r="S35" s="59">
        <f t="shared" si="38"/>
        <v>-6164</v>
      </c>
      <c r="T35" s="59">
        <f aca="true" t="shared" si="39" ref="T35:AA35">+SUM(T23:T34)</f>
        <v>-6524</v>
      </c>
      <c r="U35" s="59">
        <f t="shared" si="39"/>
        <v>-6061</v>
      </c>
      <c r="V35" s="59">
        <f t="shared" si="39"/>
        <v>-6035</v>
      </c>
      <c r="W35" s="59">
        <f t="shared" si="39"/>
        <v>-5779</v>
      </c>
      <c r="X35" s="126">
        <f t="shared" si="39"/>
        <v>-5684</v>
      </c>
      <c r="Y35" s="126">
        <f t="shared" si="39"/>
        <v>-6052</v>
      </c>
      <c r="Z35" s="126">
        <f t="shared" si="39"/>
        <v>-6028</v>
      </c>
      <c r="AA35" s="126">
        <f t="shared" si="39"/>
        <v>-6114</v>
      </c>
      <c r="AB35" s="126">
        <f aca="true" t="shared" si="40" ref="AB35:AG35">+SUM(AB23:AB34)</f>
        <v>-9104</v>
      </c>
      <c r="AC35" s="126">
        <f t="shared" si="40"/>
        <v>-9099</v>
      </c>
      <c r="AD35" s="126">
        <f t="shared" si="40"/>
        <v>-6758</v>
      </c>
      <c r="AE35" s="126">
        <f t="shared" si="40"/>
        <v>-6670</v>
      </c>
      <c r="AF35" s="126">
        <f t="shared" si="40"/>
        <v>-6903</v>
      </c>
      <c r="AG35" s="126">
        <f t="shared" si="40"/>
        <v>-6930</v>
      </c>
      <c r="AH35" s="126">
        <f aca="true" t="shared" si="41" ref="AH35:AM35">+SUM(AH23:AH34)</f>
        <v>-6643</v>
      </c>
      <c r="AI35" s="126">
        <f t="shared" si="41"/>
        <v>-6896</v>
      </c>
      <c r="AJ35" s="126">
        <f t="shared" si="41"/>
        <v>-6722</v>
      </c>
      <c r="AK35" s="126">
        <f t="shared" si="41"/>
        <v>-8023</v>
      </c>
      <c r="AL35" s="126">
        <f t="shared" si="41"/>
        <v>-10015</v>
      </c>
      <c r="AM35" s="126">
        <f t="shared" si="41"/>
        <v>-10098</v>
      </c>
      <c r="AN35" s="126">
        <f aca="true" t="shared" si="42" ref="AN35:AV35">+SUM(AN23:AN34)</f>
        <v>-10373</v>
      </c>
      <c r="AO35" s="181">
        <f t="shared" si="42"/>
        <v>-9833</v>
      </c>
      <c r="AP35" s="181">
        <f t="shared" si="42"/>
        <v>-10245</v>
      </c>
      <c r="AQ35" s="181">
        <f t="shared" si="42"/>
        <v>-10158</v>
      </c>
      <c r="AR35" s="181">
        <f t="shared" si="42"/>
        <v>-10439</v>
      </c>
      <c r="AS35" s="181">
        <f t="shared" si="42"/>
        <v>-10041</v>
      </c>
      <c r="AT35" s="181">
        <f t="shared" si="42"/>
        <v>-10467</v>
      </c>
      <c r="AU35" s="181">
        <f t="shared" si="42"/>
        <v>-10220</v>
      </c>
      <c r="AV35" s="181">
        <f t="shared" si="42"/>
        <v>-10450</v>
      </c>
      <c r="AW35" s="181">
        <f aca="true" t="shared" si="43" ref="AW35:BB35">+SUM(AW23:AW34)</f>
        <v>-11571</v>
      </c>
      <c r="AX35" s="181">
        <f t="shared" si="43"/>
        <v>-10463</v>
      </c>
      <c r="AY35" s="181">
        <f t="shared" si="43"/>
        <v>-10582</v>
      </c>
      <c r="AZ35" s="181">
        <f t="shared" si="43"/>
        <v>-12123</v>
      </c>
      <c r="BA35" s="181">
        <f t="shared" si="43"/>
        <v>-10866</v>
      </c>
      <c r="BB35" s="181">
        <f t="shared" si="43"/>
        <v>-10424</v>
      </c>
      <c r="BC35" s="181">
        <f>+SUM(BC23:BC34)</f>
        <v>-10315</v>
      </c>
      <c r="BD35" s="181">
        <f>+SUM(BD23:BD34)</f>
        <v>-10462</v>
      </c>
    </row>
    <row r="36" spans="1:22" s="19" customFormat="1" ht="12.75">
      <c r="A36" s="52"/>
      <c r="B36" s="52"/>
      <c r="C36" s="52"/>
      <c r="D36" s="122"/>
      <c r="E36" s="122"/>
      <c r="F36" s="122"/>
      <c r="G36" s="122"/>
      <c r="H36" s="122"/>
      <c r="I36" s="122"/>
      <c r="J36" s="122"/>
      <c r="K36" s="122"/>
      <c r="L36" s="65"/>
      <c r="M36" s="65"/>
      <c r="N36" s="122"/>
      <c r="O36" s="65"/>
      <c r="P36" s="65"/>
      <c r="Q36" s="65"/>
      <c r="R36" s="65"/>
      <c r="S36" s="65"/>
      <c r="T36" s="65"/>
      <c r="U36" s="65"/>
      <c r="V36" s="65"/>
    </row>
    <row r="37" spans="1:55" ht="12.75">
      <c r="A37" s="16" t="s">
        <v>2</v>
      </c>
      <c r="C37" s="125"/>
      <c r="D37" s="17"/>
      <c r="E37" s="17"/>
      <c r="F37" s="17"/>
      <c r="G37" s="17"/>
      <c r="H37" s="17"/>
      <c r="I37" s="17"/>
      <c r="J37" s="17"/>
      <c r="K37" s="17"/>
      <c r="L37" s="67"/>
      <c r="M37" s="67"/>
      <c r="N37" s="67"/>
      <c r="O37" s="65"/>
      <c r="P37" s="67"/>
      <c r="Q37" s="67"/>
      <c r="R37" s="67"/>
      <c r="S37" s="67"/>
      <c r="T37" s="58"/>
      <c r="U37" s="58"/>
      <c r="V37" s="58"/>
      <c r="X37" s="19"/>
      <c r="AS37" s="19"/>
      <c r="AT37" s="19"/>
      <c r="BA37" s="19"/>
      <c r="BC37" s="154"/>
    </row>
    <row r="38" spans="1:56" ht="12.75">
      <c r="A38" s="2" t="s">
        <v>103</v>
      </c>
      <c r="C38" s="16"/>
      <c r="D38" s="65">
        <v>4347</v>
      </c>
      <c r="E38" s="65">
        <v>4257</v>
      </c>
      <c r="F38" s="65">
        <v>4254</v>
      </c>
      <c r="G38" s="65">
        <v>4256</v>
      </c>
      <c r="H38" s="65">
        <v>4255</v>
      </c>
      <c r="I38" s="65">
        <v>4256</v>
      </c>
      <c r="J38" s="65">
        <v>4192</v>
      </c>
      <c r="K38" s="65">
        <v>4246</v>
      </c>
      <c r="L38" s="65">
        <v>4247</v>
      </c>
      <c r="M38" s="65">
        <v>4247</v>
      </c>
      <c r="N38" s="65">
        <v>4259</v>
      </c>
      <c r="O38" s="65">
        <f aca="true" t="shared" si="44" ref="O38:U43">O8+O23</f>
        <v>4247</v>
      </c>
      <c r="P38" s="67">
        <f t="shared" si="44"/>
        <v>4246</v>
      </c>
      <c r="Q38" s="67">
        <f t="shared" si="44"/>
        <v>4244</v>
      </c>
      <c r="R38" s="67">
        <f t="shared" si="44"/>
        <v>4235</v>
      </c>
      <c r="S38" s="67">
        <f t="shared" si="44"/>
        <v>4231</v>
      </c>
      <c r="T38" s="58">
        <f t="shared" si="44"/>
        <v>4237</v>
      </c>
      <c r="U38" s="58">
        <f t="shared" si="44"/>
        <v>4256</v>
      </c>
      <c r="V38" s="58">
        <v>4237</v>
      </c>
      <c r="W38" s="58">
        <v>4240</v>
      </c>
      <c r="X38" s="66">
        <v>4238</v>
      </c>
      <c r="Y38" s="66">
        <v>4252</v>
      </c>
      <c r="Z38" s="153">
        <v>4239</v>
      </c>
      <c r="AA38" s="153">
        <v>4576</v>
      </c>
      <c r="AB38" s="153">
        <v>4706</v>
      </c>
      <c r="AC38" s="153">
        <v>3493</v>
      </c>
      <c r="AD38" s="153">
        <v>4136</v>
      </c>
      <c r="AE38" s="154">
        <v>4321</v>
      </c>
      <c r="AF38" s="154">
        <v>4923</v>
      </c>
      <c r="AG38" s="154">
        <v>4428</v>
      </c>
      <c r="AH38" s="154">
        <f>AH8+AH23</f>
        <v>4774</v>
      </c>
      <c r="AI38" s="154">
        <v>4947</v>
      </c>
      <c r="AJ38" s="154">
        <v>5407</v>
      </c>
      <c r="AK38" s="154">
        <v>5179</v>
      </c>
      <c r="AL38" s="154">
        <v>5142</v>
      </c>
      <c r="AM38" s="154">
        <v>5291</v>
      </c>
      <c r="AN38" s="154">
        <v>5186</v>
      </c>
      <c r="AO38" s="154">
        <v>5257</v>
      </c>
      <c r="AP38" s="154">
        <v>5022</v>
      </c>
      <c r="AQ38" s="154">
        <v>4796</v>
      </c>
      <c r="AR38" s="154">
        <v>4394</v>
      </c>
      <c r="AS38" s="154">
        <v>4713</v>
      </c>
      <c r="AT38" s="66">
        <v>4614</v>
      </c>
      <c r="AU38" s="66">
        <v>4437</v>
      </c>
      <c r="AV38" s="154">
        <v>4186</v>
      </c>
      <c r="AW38" s="154">
        <v>3874</v>
      </c>
      <c r="AX38" s="154">
        <v>3931</v>
      </c>
      <c r="AY38" s="154">
        <v>3205</v>
      </c>
      <c r="AZ38" s="154">
        <v>3955</v>
      </c>
      <c r="BA38" s="154">
        <v>3335</v>
      </c>
      <c r="BB38" s="154">
        <v>3807</v>
      </c>
      <c r="BC38" s="154">
        <v>4132</v>
      </c>
      <c r="BD38" s="154">
        <v>4250</v>
      </c>
    </row>
    <row r="39" spans="1:56" ht="12.75">
      <c r="A39" s="2" t="s">
        <v>104</v>
      </c>
      <c r="C39" s="16"/>
      <c r="D39" s="65">
        <v>0</v>
      </c>
      <c r="E39" s="65">
        <v>0</v>
      </c>
      <c r="F39" s="65">
        <v>-59</v>
      </c>
      <c r="G39" s="65">
        <v>50</v>
      </c>
      <c r="H39" s="65">
        <v>646</v>
      </c>
      <c r="I39" s="65">
        <v>1140</v>
      </c>
      <c r="J39" s="65">
        <v>1115</v>
      </c>
      <c r="K39" s="65">
        <v>1252</v>
      </c>
      <c r="L39" s="65">
        <v>1232</v>
      </c>
      <c r="M39" s="65">
        <v>1200</v>
      </c>
      <c r="N39" s="65">
        <v>1283</v>
      </c>
      <c r="O39" s="65">
        <f t="shared" si="44"/>
        <v>1398</v>
      </c>
      <c r="P39" s="67">
        <f t="shared" si="44"/>
        <v>1365</v>
      </c>
      <c r="Q39" s="67">
        <f t="shared" si="44"/>
        <v>1289</v>
      </c>
      <c r="R39" s="67">
        <f t="shared" si="44"/>
        <v>1311</v>
      </c>
      <c r="S39" s="67">
        <f t="shared" si="44"/>
        <v>1269</v>
      </c>
      <c r="T39" s="58">
        <f t="shared" si="44"/>
        <v>1165</v>
      </c>
      <c r="U39" s="58">
        <f t="shared" si="44"/>
        <v>1341</v>
      </c>
      <c r="V39" s="58">
        <v>1074</v>
      </c>
      <c r="W39" s="58">
        <v>1074</v>
      </c>
      <c r="X39" s="66">
        <v>1044</v>
      </c>
      <c r="Y39" s="66">
        <v>910</v>
      </c>
      <c r="Z39" s="153">
        <v>1010</v>
      </c>
      <c r="AA39" s="153">
        <v>1083</v>
      </c>
      <c r="AB39" s="153">
        <v>1035</v>
      </c>
      <c r="AC39" s="153">
        <v>881</v>
      </c>
      <c r="AD39" s="153">
        <v>847</v>
      </c>
      <c r="AE39" s="154">
        <v>908</v>
      </c>
      <c r="AF39" s="154">
        <v>870</v>
      </c>
      <c r="AG39" s="154">
        <v>976</v>
      </c>
      <c r="AH39" s="154">
        <f>AH9+AH24</f>
        <v>928</v>
      </c>
      <c r="AI39" s="154">
        <v>882</v>
      </c>
      <c r="AJ39" s="154">
        <v>933</v>
      </c>
      <c r="AK39" s="154">
        <v>932</v>
      </c>
      <c r="AL39" s="154">
        <v>1067</v>
      </c>
      <c r="AM39" s="154">
        <v>1054</v>
      </c>
      <c r="AN39" s="154">
        <v>1053</v>
      </c>
      <c r="AO39" s="154">
        <v>1084</v>
      </c>
      <c r="AP39" s="154">
        <v>1033</v>
      </c>
      <c r="AQ39" s="154">
        <v>1045</v>
      </c>
      <c r="AR39" s="154">
        <v>1086</v>
      </c>
      <c r="AS39" s="154">
        <v>1038</v>
      </c>
      <c r="AT39" s="66">
        <v>1043</v>
      </c>
      <c r="AU39" s="66">
        <v>1077</v>
      </c>
      <c r="AV39" s="154">
        <v>1077</v>
      </c>
      <c r="AW39" s="154">
        <v>1050</v>
      </c>
      <c r="AX39" s="154">
        <v>922</v>
      </c>
      <c r="AY39" s="154">
        <v>862</v>
      </c>
      <c r="AZ39" s="154">
        <v>871</v>
      </c>
      <c r="BA39" s="154">
        <v>518</v>
      </c>
      <c r="BB39" s="154">
        <v>0</v>
      </c>
      <c r="BC39" s="154">
        <v>0</v>
      </c>
      <c r="BD39" s="154">
        <v>0</v>
      </c>
    </row>
    <row r="40" spans="1:56" ht="12.75">
      <c r="A40" s="2" t="s">
        <v>105</v>
      </c>
      <c r="C40" s="125"/>
      <c r="D40" s="65">
        <v>0</v>
      </c>
      <c r="E40" s="65">
        <v>0</v>
      </c>
      <c r="F40" s="65">
        <v>0</v>
      </c>
      <c r="G40" s="65">
        <v>0</v>
      </c>
      <c r="H40" s="65">
        <v>0</v>
      </c>
      <c r="I40" s="65">
        <v>0</v>
      </c>
      <c r="J40" s="65">
        <v>2861</v>
      </c>
      <c r="K40" s="65">
        <v>4341</v>
      </c>
      <c r="L40" s="65">
        <v>4093</v>
      </c>
      <c r="M40" s="65">
        <v>3830</v>
      </c>
      <c r="N40" s="65">
        <v>3647</v>
      </c>
      <c r="O40" s="65">
        <f t="shared" si="44"/>
        <v>3221</v>
      </c>
      <c r="P40" s="67">
        <f t="shared" si="44"/>
        <v>2576</v>
      </c>
      <c r="Q40" s="67">
        <f t="shared" si="44"/>
        <v>2657</v>
      </c>
      <c r="R40" s="67">
        <f t="shared" si="44"/>
        <v>2539</v>
      </c>
      <c r="S40" s="67">
        <f t="shared" si="44"/>
        <v>2409</v>
      </c>
      <c r="T40" s="58">
        <f t="shared" si="44"/>
        <v>2649</v>
      </c>
      <c r="U40" s="58">
        <f t="shared" si="44"/>
        <v>3032</v>
      </c>
      <c r="V40" s="58">
        <v>2796</v>
      </c>
      <c r="W40" s="58">
        <v>2860</v>
      </c>
      <c r="X40" s="66">
        <v>2856</v>
      </c>
      <c r="Y40" s="66">
        <v>2736</v>
      </c>
      <c r="Z40" s="153">
        <v>2776</v>
      </c>
      <c r="AA40" s="153">
        <v>2825</v>
      </c>
      <c r="AB40" s="153">
        <v>2707</v>
      </c>
      <c r="AC40" s="153">
        <v>2638</v>
      </c>
      <c r="AD40" s="153">
        <v>23</v>
      </c>
      <c r="AE40" s="154">
        <v>0</v>
      </c>
      <c r="AF40" s="154">
        <v>0</v>
      </c>
      <c r="AG40" s="154">
        <v>0</v>
      </c>
      <c r="AH40" s="154">
        <v>0</v>
      </c>
      <c r="AI40" s="154">
        <v>0</v>
      </c>
      <c r="AJ40" s="154">
        <v>0</v>
      </c>
      <c r="AK40" s="154">
        <v>0</v>
      </c>
      <c r="AL40" s="154">
        <v>0</v>
      </c>
      <c r="AM40" s="154">
        <v>0</v>
      </c>
      <c r="AN40" s="154">
        <v>0</v>
      </c>
      <c r="AO40" s="154">
        <v>0</v>
      </c>
      <c r="AP40" s="154">
        <v>0</v>
      </c>
      <c r="AQ40" s="154">
        <v>0</v>
      </c>
      <c r="AR40" s="154">
        <v>0</v>
      </c>
      <c r="AS40" s="154">
        <v>0</v>
      </c>
      <c r="AT40" s="66">
        <v>0</v>
      </c>
      <c r="AU40" s="66">
        <v>0</v>
      </c>
      <c r="AV40" s="154">
        <v>0</v>
      </c>
      <c r="AW40" s="154">
        <v>0</v>
      </c>
      <c r="AX40" s="154">
        <v>0</v>
      </c>
      <c r="AY40" s="154">
        <v>0</v>
      </c>
      <c r="AZ40" s="154">
        <v>0</v>
      </c>
      <c r="BA40" s="154">
        <v>0</v>
      </c>
      <c r="BB40" s="154">
        <v>0</v>
      </c>
      <c r="BC40" s="154">
        <v>0</v>
      </c>
      <c r="BD40" s="154">
        <v>0</v>
      </c>
    </row>
    <row r="41" spans="1:56" ht="12.75">
      <c r="A41" s="2" t="s">
        <v>106</v>
      </c>
      <c r="C41" s="125"/>
      <c r="D41" s="65">
        <v>0</v>
      </c>
      <c r="E41" s="65">
        <v>0</v>
      </c>
      <c r="F41" s="65">
        <v>0</v>
      </c>
      <c r="G41" s="65">
        <v>0</v>
      </c>
      <c r="H41" s="65">
        <v>0</v>
      </c>
      <c r="I41" s="65">
        <v>0</v>
      </c>
      <c r="J41" s="65">
        <v>0</v>
      </c>
      <c r="K41" s="65">
        <v>0</v>
      </c>
      <c r="L41" s="65">
        <v>0</v>
      </c>
      <c r="M41" s="67">
        <v>0</v>
      </c>
      <c r="N41" s="67">
        <v>0</v>
      </c>
      <c r="O41" s="65">
        <f t="shared" si="44"/>
        <v>0</v>
      </c>
      <c r="P41" s="67">
        <f t="shared" si="44"/>
        <v>0</v>
      </c>
      <c r="Q41" s="67">
        <f t="shared" si="44"/>
        <v>2122</v>
      </c>
      <c r="R41" s="67">
        <f t="shared" si="44"/>
        <v>5325</v>
      </c>
      <c r="S41" s="67">
        <f t="shared" si="44"/>
        <v>5324</v>
      </c>
      <c r="T41" s="58">
        <f t="shared" si="44"/>
        <v>5317</v>
      </c>
      <c r="U41" s="58">
        <f t="shared" si="44"/>
        <v>5349</v>
      </c>
      <c r="V41" s="58">
        <v>5329</v>
      </c>
      <c r="W41" s="58">
        <v>5328</v>
      </c>
      <c r="X41" s="66">
        <v>5329</v>
      </c>
      <c r="Y41" s="66">
        <v>5343</v>
      </c>
      <c r="Z41" s="153">
        <v>5329</v>
      </c>
      <c r="AA41" s="153">
        <v>5329</v>
      </c>
      <c r="AB41" s="153">
        <v>5329</v>
      </c>
      <c r="AC41" s="153">
        <v>5342</v>
      </c>
      <c r="AD41" s="153">
        <v>5329</v>
      </c>
      <c r="AE41" s="154">
        <v>5329</v>
      </c>
      <c r="AF41" s="154">
        <v>5329</v>
      </c>
      <c r="AG41" s="154">
        <v>5341</v>
      </c>
      <c r="AH41" s="154">
        <f>AH11+AH26</f>
        <v>5329</v>
      </c>
      <c r="AI41" s="154">
        <v>5329</v>
      </c>
      <c r="AJ41" s="154">
        <v>5329</v>
      </c>
      <c r="AK41" s="154">
        <v>6610</v>
      </c>
      <c r="AL41" s="154">
        <v>8855</v>
      </c>
      <c r="AM41" s="154">
        <v>8967</v>
      </c>
      <c r="AN41" s="154">
        <v>8974</v>
      </c>
      <c r="AO41" s="154">
        <v>9613</v>
      </c>
      <c r="AP41" s="154">
        <v>10055</v>
      </c>
      <c r="AQ41" s="154">
        <v>9908</v>
      </c>
      <c r="AR41" s="154">
        <v>10064</v>
      </c>
      <c r="AS41" s="154">
        <v>10152</v>
      </c>
      <c r="AT41" s="66">
        <v>10112</v>
      </c>
      <c r="AU41" s="66">
        <v>9731</v>
      </c>
      <c r="AV41" s="154">
        <v>9429</v>
      </c>
      <c r="AW41" s="154">
        <v>9607</v>
      </c>
      <c r="AX41" s="154">
        <v>7618</v>
      </c>
      <c r="AY41" s="154">
        <v>6396</v>
      </c>
      <c r="AZ41" s="154">
        <v>5607</v>
      </c>
      <c r="BA41" s="154">
        <v>6398</v>
      </c>
      <c r="BB41" s="154">
        <v>5755</v>
      </c>
      <c r="BC41" s="154">
        <v>4713</v>
      </c>
      <c r="BD41" s="154">
        <v>4712</v>
      </c>
    </row>
    <row r="42" spans="1:56" ht="12.75">
      <c r="A42" s="2" t="s">
        <v>107</v>
      </c>
      <c r="C42" s="16"/>
      <c r="D42" s="65">
        <v>4538</v>
      </c>
      <c r="E42" s="65">
        <f>4447-36</f>
        <v>4411</v>
      </c>
      <c r="F42" s="65">
        <v>4783</v>
      </c>
      <c r="G42" s="65">
        <v>5085</v>
      </c>
      <c r="H42" s="65">
        <v>5075</v>
      </c>
      <c r="I42" s="65">
        <v>5634</v>
      </c>
      <c r="J42" s="65">
        <v>6656</v>
      </c>
      <c r="K42" s="65">
        <v>6598</v>
      </c>
      <c r="L42" s="65">
        <v>5587</v>
      </c>
      <c r="M42" s="65">
        <v>5785</v>
      </c>
      <c r="N42" s="65">
        <v>4357</v>
      </c>
      <c r="O42" s="65">
        <f t="shared" si="44"/>
        <v>5218</v>
      </c>
      <c r="P42" s="67">
        <f t="shared" si="44"/>
        <v>4462</v>
      </c>
      <c r="Q42" s="67">
        <f t="shared" si="44"/>
        <v>4943</v>
      </c>
      <c r="R42" s="67">
        <f t="shared" si="44"/>
        <v>5344</v>
      </c>
      <c r="S42" s="67">
        <f t="shared" si="44"/>
        <v>5493</v>
      </c>
      <c r="T42" s="58">
        <f t="shared" si="44"/>
        <v>4707</v>
      </c>
      <c r="U42" s="58">
        <f t="shared" si="44"/>
        <v>5214</v>
      </c>
      <c r="V42" s="58">
        <v>5103</v>
      </c>
      <c r="W42" s="58">
        <v>5783</v>
      </c>
      <c r="X42" s="66">
        <v>6776</v>
      </c>
      <c r="Y42" s="66">
        <v>6609</v>
      </c>
      <c r="Z42" s="153">
        <v>6620</v>
      </c>
      <c r="AA42" s="153">
        <v>6477</v>
      </c>
      <c r="AB42" s="153">
        <v>6184</v>
      </c>
      <c r="AC42" s="153">
        <v>6874</v>
      </c>
      <c r="AD42" s="153">
        <v>6861</v>
      </c>
      <c r="AE42" s="154">
        <v>6889</v>
      </c>
      <c r="AF42" s="154">
        <v>6469</v>
      </c>
      <c r="AG42" s="154">
        <v>6229</v>
      </c>
      <c r="AH42" s="154">
        <f>AH12+AH27</f>
        <v>6065</v>
      </c>
      <c r="AI42" s="154">
        <v>6037</v>
      </c>
      <c r="AJ42" s="154">
        <v>6311</v>
      </c>
      <c r="AK42" s="154">
        <v>6091</v>
      </c>
      <c r="AL42" s="154">
        <v>5601</v>
      </c>
      <c r="AM42" s="154">
        <v>5136</v>
      </c>
      <c r="AN42" s="154">
        <v>4821</v>
      </c>
      <c r="AO42" s="154">
        <v>5031</v>
      </c>
      <c r="AP42" s="154">
        <v>4931</v>
      </c>
      <c r="AQ42" s="154">
        <v>4634</v>
      </c>
      <c r="AR42" s="154">
        <v>4312</v>
      </c>
      <c r="AS42" s="154">
        <v>4693</v>
      </c>
      <c r="AT42" s="66">
        <v>4561</v>
      </c>
      <c r="AU42" s="66">
        <v>5882</v>
      </c>
      <c r="AV42" s="154">
        <v>4459</v>
      </c>
      <c r="AW42" s="154">
        <v>4326</v>
      </c>
      <c r="AX42" s="154">
        <v>3710</v>
      </c>
      <c r="AY42" s="154">
        <v>3547</v>
      </c>
      <c r="AZ42" s="154">
        <v>3246</v>
      </c>
      <c r="BA42" s="154">
        <v>3447</v>
      </c>
      <c r="BB42" s="154">
        <v>3318</v>
      </c>
      <c r="BC42" s="154">
        <v>3211</v>
      </c>
      <c r="BD42" s="154">
        <v>3042</v>
      </c>
    </row>
    <row r="43" spans="1:56" ht="12.75">
      <c r="A43" s="2" t="s">
        <v>108</v>
      </c>
      <c r="C43" s="16"/>
      <c r="D43" s="65">
        <v>0</v>
      </c>
      <c r="E43" s="65">
        <v>0</v>
      </c>
      <c r="F43" s="65">
        <v>0</v>
      </c>
      <c r="G43" s="65">
        <v>0</v>
      </c>
      <c r="H43" s="65">
        <v>0</v>
      </c>
      <c r="I43" s="65">
        <v>2768</v>
      </c>
      <c r="J43" s="65">
        <v>2349</v>
      </c>
      <c r="K43" s="65">
        <v>2599</v>
      </c>
      <c r="L43" s="65">
        <v>2572</v>
      </c>
      <c r="M43" s="65">
        <v>2554</v>
      </c>
      <c r="N43" s="65">
        <v>1954</v>
      </c>
      <c r="O43" s="65">
        <f t="shared" si="44"/>
        <v>2120</v>
      </c>
      <c r="P43" s="67">
        <f t="shared" si="44"/>
        <v>2344</v>
      </c>
      <c r="Q43" s="67">
        <f t="shared" si="44"/>
        <v>2534</v>
      </c>
      <c r="R43" s="67">
        <f t="shared" si="44"/>
        <v>2594</v>
      </c>
      <c r="S43" s="67">
        <f t="shared" si="44"/>
        <v>2577</v>
      </c>
      <c r="T43" s="58">
        <f t="shared" si="44"/>
        <v>2481</v>
      </c>
      <c r="U43" s="58">
        <f t="shared" si="44"/>
        <v>2419</v>
      </c>
      <c r="V43" s="58">
        <v>2679</v>
      </c>
      <c r="W43" s="58">
        <v>2674</v>
      </c>
      <c r="X43" s="66">
        <v>2828</v>
      </c>
      <c r="Y43" s="66">
        <v>2748</v>
      </c>
      <c r="Z43" s="153">
        <v>2677</v>
      </c>
      <c r="AA43" s="153">
        <v>2782</v>
      </c>
      <c r="AB43" s="153">
        <v>4997</v>
      </c>
      <c r="AC43" s="153">
        <v>5770</v>
      </c>
      <c r="AD43" s="153">
        <v>5462</v>
      </c>
      <c r="AE43" s="154">
        <v>5591</v>
      </c>
      <c r="AF43" s="154">
        <v>5491</v>
      </c>
      <c r="AG43" s="154">
        <v>4908</v>
      </c>
      <c r="AH43" s="154">
        <f>AH13+AH28</f>
        <v>5030</v>
      </c>
      <c r="AI43" s="154">
        <v>4509</v>
      </c>
      <c r="AJ43" s="154">
        <v>4939</v>
      </c>
      <c r="AK43" s="154">
        <v>4993</v>
      </c>
      <c r="AL43" s="154">
        <v>4779</v>
      </c>
      <c r="AM43" s="154">
        <v>4268</v>
      </c>
      <c r="AN43" s="154">
        <v>4287</v>
      </c>
      <c r="AO43" s="154">
        <v>4546</v>
      </c>
      <c r="AP43" s="154">
        <v>4399</v>
      </c>
      <c r="AQ43" s="154">
        <v>4383</v>
      </c>
      <c r="AR43" s="154">
        <v>4253</v>
      </c>
      <c r="AS43" s="154">
        <v>4327</v>
      </c>
      <c r="AT43" s="66">
        <v>4599</v>
      </c>
      <c r="AU43" s="66">
        <v>4639</v>
      </c>
      <c r="AV43" s="154">
        <v>4541</v>
      </c>
      <c r="AW43" s="154">
        <v>3604</v>
      </c>
      <c r="AX43" s="154">
        <v>4495</v>
      </c>
      <c r="AY43" s="154">
        <v>4346</v>
      </c>
      <c r="AZ43" s="154">
        <v>2696</v>
      </c>
      <c r="BA43" s="154">
        <v>3940</v>
      </c>
      <c r="BB43" s="154">
        <v>4211</v>
      </c>
      <c r="BC43" s="154">
        <v>4149</v>
      </c>
      <c r="BD43" s="154">
        <v>4069</v>
      </c>
    </row>
    <row r="44" spans="1:56" ht="12.75">
      <c r="A44" s="2" t="s">
        <v>180</v>
      </c>
      <c r="C44" s="16"/>
      <c r="D44" s="65"/>
      <c r="E44" s="65"/>
      <c r="F44" s="65"/>
      <c r="G44" s="65"/>
      <c r="H44" s="65"/>
      <c r="I44" s="65"/>
      <c r="J44" s="65"/>
      <c r="K44" s="154">
        <v>0</v>
      </c>
      <c r="L44" s="154">
        <v>0</v>
      </c>
      <c r="M44" s="154">
        <v>0</v>
      </c>
      <c r="N44" s="154">
        <v>0</v>
      </c>
      <c r="O44" s="154">
        <v>0</v>
      </c>
      <c r="P44" s="154">
        <v>0</v>
      </c>
      <c r="Q44" s="154">
        <v>0</v>
      </c>
      <c r="R44" s="154">
        <v>0</v>
      </c>
      <c r="S44" s="154">
        <v>0</v>
      </c>
      <c r="T44" s="154">
        <v>0</v>
      </c>
      <c r="U44" s="154">
        <v>0</v>
      </c>
      <c r="V44" s="154">
        <v>0</v>
      </c>
      <c r="W44" s="154">
        <v>0</v>
      </c>
      <c r="X44" s="154">
        <v>0</v>
      </c>
      <c r="Y44" s="154">
        <v>0</v>
      </c>
      <c r="Z44" s="154">
        <v>0</v>
      </c>
      <c r="AA44" s="154">
        <v>0</v>
      </c>
      <c r="AB44" s="154">
        <v>0</v>
      </c>
      <c r="AC44" s="154">
        <v>0</v>
      </c>
      <c r="AD44" s="154">
        <v>0</v>
      </c>
      <c r="AE44" s="154">
        <v>0</v>
      </c>
      <c r="AF44" s="154">
        <v>0</v>
      </c>
      <c r="AG44" s="154">
        <v>0</v>
      </c>
      <c r="AH44" s="154">
        <v>0</v>
      </c>
      <c r="AI44" s="154">
        <v>0</v>
      </c>
      <c r="AJ44" s="154">
        <v>0</v>
      </c>
      <c r="AK44" s="154">
        <v>0</v>
      </c>
      <c r="AL44" s="154">
        <v>0</v>
      </c>
      <c r="AM44" s="154">
        <v>0</v>
      </c>
      <c r="AN44" s="154">
        <v>0</v>
      </c>
      <c r="AO44" s="154">
        <v>1856</v>
      </c>
      <c r="AP44" s="154">
        <v>3938</v>
      </c>
      <c r="AQ44" s="154">
        <v>4070</v>
      </c>
      <c r="AR44" s="154">
        <v>4002</v>
      </c>
      <c r="AS44" s="154">
        <v>4366</v>
      </c>
      <c r="AT44" s="66">
        <v>4283</v>
      </c>
      <c r="AU44" s="66">
        <v>4254</v>
      </c>
      <c r="AV44" s="154">
        <v>4184</v>
      </c>
      <c r="AW44" s="154">
        <v>4274</v>
      </c>
      <c r="AX44" s="154">
        <v>4182</v>
      </c>
      <c r="AY44" s="154">
        <v>4076</v>
      </c>
      <c r="AZ44" s="154">
        <v>3996</v>
      </c>
      <c r="BA44" s="154">
        <v>3973</v>
      </c>
      <c r="BB44" s="154">
        <v>4031</v>
      </c>
      <c r="BC44" s="154">
        <v>3882</v>
      </c>
      <c r="BD44" s="154">
        <v>3680</v>
      </c>
    </row>
    <row r="45" spans="1:56" ht="12.75">
      <c r="A45" s="2" t="s">
        <v>138</v>
      </c>
      <c r="C45" s="2"/>
      <c r="D45" s="65">
        <v>0</v>
      </c>
      <c r="E45" s="65">
        <v>0</v>
      </c>
      <c r="F45" s="65">
        <v>0</v>
      </c>
      <c r="G45" s="65">
        <v>0</v>
      </c>
      <c r="H45" s="65">
        <v>0</v>
      </c>
      <c r="I45" s="65">
        <v>769</v>
      </c>
      <c r="J45" s="65">
        <v>1216</v>
      </c>
      <c r="K45" s="65">
        <v>997</v>
      </c>
      <c r="L45" s="65">
        <v>1015</v>
      </c>
      <c r="M45" s="65">
        <v>983</v>
      </c>
      <c r="N45" s="65">
        <v>1249</v>
      </c>
      <c r="O45" s="65">
        <f aca="true" t="shared" si="45" ref="O45:U48">O15+O30</f>
        <v>362</v>
      </c>
      <c r="P45" s="67">
        <f t="shared" si="45"/>
        <v>198</v>
      </c>
      <c r="Q45" s="67">
        <f t="shared" si="45"/>
        <v>220</v>
      </c>
      <c r="R45" s="67">
        <f t="shared" si="45"/>
        <v>329</v>
      </c>
      <c r="S45" s="67">
        <f t="shared" si="45"/>
        <v>389</v>
      </c>
      <c r="T45" s="58">
        <f t="shared" si="45"/>
        <v>350</v>
      </c>
      <c r="U45" s="58">
        <f t="shared" si="45"/>
        <v>-173</v>
      </c>
      <c r="V45" s="58">
        <v>-231</v>
      </c>
      <c r="W45" s="58">
        <v>-21</v>
      </c>
      <c r="X45" s="66">
        <v>0</v>
      </c>
      <c r="Y45" s="66">
        <v>0</v>
      </c>
      <c r="Z45" s="153">
        <v>0</v>
      </c>
      <c r="AA45" s="153">
        <v>0</v>
      </c>
      <c r="AB45" s="153">
        <v>0</v>
      </c>
      <c r="AC45" s="153">
        <v>0</v>
      </c>
      <c r="AD45" s="153">
        <v>0</v>
      </c>
      <c r="AE45" s="154">
        <v>0</v>
      </c>
      <c r="AF45" s="154">
        <v>0</v>
      </c>
      <c r="AG45" s="154">
        <v>0</v>
      </c>
      <c r="AH45" s="154">
        <v>0</v>
      </c>
      <c r="AI45" s="154">
        <v>0</v>
      </c>
      <c r="AJ45" s="154">
        <v>0</v>
      </c>
      <c r="AK45" s="154">
        <v>0</v>
      </c>
      <c r="AL45" s="154">
        <v>0</v>
      </c>
      <c r="AM45" s="154">
        <v>0</v>
      </c>
      <c r="AN45" s="154">
        <v>0</v>
      </c>
      <c r="AO45" s="154">
        <v>0</v>
      </c>
      <c r="AP45" s="154">
        <v>0</v>
      </c>
      <c r="AQ45" s="154">
        <v>0</v>
      </c>
      <c r="AR45" s="154">
        <v>0</v>
      </c>
      <c r="AS45" s="154">
        <v>0</v>
      </c>
      <c r="AT45" s="154">
        <v>0</v>
      </c>
      <c r="AU45" s="154">
        <v>0</v>
      </c>
      <c r="AV45" s="154">
        <v>0</v>
      </c>
      <c r="AW45" s="154">
        <v>0</v>
      </c>
      <c r="AX45" s="154">
        <v>0</v>
      </c>
      <c r="AY45" s="154">
        <v>0</v>
      </c>
      <c r="AZ45" s="154">
        <v>0</v>
      </c>
      <c r="BA45" s="154">
        <v>0</v>
      </c>
      <c r="BB45" s="154">
        <v>0</v>
      </c>
      <c r="BC45" s="154">
        <v>0</v>
      </c>
      <c r="BD45" s="154">
        <v>0</v>
      </c>
    </row>
    <row r="46" spans="1:56" ht="12.75">
      <c r="A46" s="2" t="s">
        <v>110</v>
      </c>
      <c r="C46" s="2"/>
      <c r="D46" s="65">
        <v>0</v>
      </c>
      <c r="E46" s="65">
        <v>0</v>
      </c>
      <c r="F46" s="65">
        <v>0</v>
      </c>
      <c r="G46" s="65">
        <v>0</v>
      </c>
      <c r="H46" s="65">
        <v>0</v>
      </c>
      <c r="I46" s="65">
        <v>21</v>
      </c>
      <c r="J46" s="65">
        <v>240</v>
      </c>
      <c r="K46" s="65">
        <v>221</v>
      </c>
      <c r="L46" s="65">
        <v>213</v>
      </c>
      <c r="M46" s="65">
        <v>217</v>
      </c>
      <c r="N46" s="65">
        <v>285</v>
      </c>
      <c r="O46" s="65">
        <f t="shared" si="45"/>
        <v>307</v>
      </c>
      <c r="P46" s="67">
        <f t="shared" si="45"/>
        <v>260</v>
      </c>
      <c r="Q46" s="67">
        <f t="shared" si="45"/>
        <v>285</v>
      </c>
      <c r="R46" s="67">
        <f t="shared" si="45"/>
        <v>301</v>
      </c>
      <c r="S46" s="67">
        <f t="shared" si="45"/>
        <v>279</v>
      </c>
      <c r="T46" s="58">
        <f t="shared" si="45"/>
        <v>290</v>
      </c>
      <c r="U46" s="58">
        <f t="shared" si="45"/>
        <v>298</v>
      </c>
      <c r="V46" s="58">
        <v>312</v>
      </c>
      <c r="W46" s="58">
        <v>302</v>
      </c>
      <c r="X46" s="66">
        <v>263</v>
      </c>
      <c r="Y46" s="66">
        <v>282</v>
      </c>
      <c r="Z46" s="153">
        <v>318</v>
      </c>
      <c r="AA46" s="153">
        <v>302</v>
      </c>
      <c r="AB46" s="153">
        <v>296</v>
      </c>
      <c r="AC46" s="153">
        <v>295</v>
      </c>
      <c r="AD46" s="153">
        <v>85</v>
      </c>
      <c r="AE46" s="154">
        <v>0</v>
      </c>
      <c r="AF46" s="154">
        <v>0</v>
      </c>
      <c r="AG46" s="154">
        <v>0</v>
      </c>
      <c r="AH46" s="154">
        <v>0</v>
      </c>
      <c r="AI46" s="154">
        <v>0</v>
      </c>
      <c r="AJ46" s="154">
        <v>0</v>
      </c>
      <c r="AK46" s="154">
        <v>0</v>
      </c>
      <c r="AL46" s="154">
        <v>0</v>
      </c>
      <c r="AM46" s="154">
        <v>0</v>
      </c>
      <c r="AN46" s="154">
        <v>0</v>
      </c>
      <c r="AO46" s="154">
        <v>0</v>
      </c>
      <c r="AP46" s="154">
        <v>0</v>
      </c>
      <c r="AQ46" s="154">
        <v>0</v>
      </c>
      <c r="AR46" s="154">
        <v>0</v>
      </c>
      <c r="AS46" s="154">
        <v>0</v>
      </c>
      <c r="AT46" s="154">
        <v>0</v>
      </c>
      <c r="AU46" s="154">
        <v>0</v>
      </c>
      <c r="AV46" s="154">
        <v>0</v>
      </c>
      <c r="AW46" s="154">
        <v>0</v>
      </c>
      <c r="AX46" s="154">
        <v>0</v>
      </c>
      <c r="AY46" s="154">
        <v>0</v>
      </c>
      <c r="AZ46" s="154">
        <v>0</v>
      </c>
      <c r="BA46" s="154">
        <v>0</v>
      </c>
      <c r="BB46" s="154">
        <v>0</v>
      </c>
      <c r="BC46" s="154">
        <v>0</v>
      </c>
      <c r="BD46" s="154">
        <v>0</v>
      </c>
    </row>
    <row r="47" spans="1:56" ht="12.75">
      <c r="A47" s="2" t="s">
        <v>109</v>
      </c>
      <c r="C47" s="2"/>
      <c r="D47" s="65">
        <v>0</v>
      </c>
      <c r="E47" s="65">
        <v>0</v>
      </c>
      <c r="F47" s="65">
        <v>0</v>
      </c>
      <c r="G47" s="65">
        <v>0</v>
      </c>
      <c r="H47" s="65">
        <v>0</v>
      </c>
      <c r="I47" s="65">
        <v>67</v>
      </c>
      <c r="J47" s="65">
        <v>960</v>
      </c>
      <c r="K47" s="65">
        <v>903</v>
      </c>
      <c r="L47" s="65">
        <v>861</v>
      </c>
      <c r="M47" s="65">
        <v>851</v>
      </c>
      <c r="N47" s="65">
        <v>1094</v>
      </c>
      <c r="O47" s="65">
        <f t="shared" si="45"/>
        <v>1228</v>
      </c>
      <c r="P47" s="67">
        <f t="shared" si="45"/>
        <v>1088</v>
      </c>
      <c r="Q47" s="67">
        <f t="shared" si="45"/>
        <v>1124</v>
      </c>
      <c r="R47" s="67">
        <f t="shared" si="45"/>
        <v>987</v>
      </c>
      <c r="S47" s="67">
        <f t="shared" si="45"/>
        <v>1090</v>
      </c>
      <c r="T47" s="58">
        <f t="shared" si="45"/>
        <v>976</v>
      </c>
      <c r="U47" s="58">
        <f t="shared" si="45"/>
        <v>946</v>
      </c>
      <c r="V47" s="58">
        <v>1100</v>
      </c>
      <c r="W47" s="58">
        <v>1056</v>
      </c>
      <c r="X47" s="66">
        <v>1037</v>
      </c>
      <c r="Y47" s="66">
        <v>913</v>
      </c>
      <c r="Z47" s="153">
        <v>1075</v>
      </c>
      <c r="AA47" s="153">
        <v>825</v>
      </c>
      <c r="AB47" s="153">
        <v>831</v>
      </c>
      <c r="AC47" s="153">
        <v>623</v>
      </c>
      <c r="AD47" s="153">
        <v>127</v>
      </c>
      <c r="AE47" s="154">
        <v>0</v>
      </c>
      <c r="AF47" s="154">
        <v>0</v>
      </c>
      <c r="AG47" s="154">
        <v>0</v>
      </c>
      <c r="AH47" s="154">
        <v>0</v>
      </c>
      <c r="AI47" s="154">
        <v>0</v>
      </c>
      <c r="AJ47" s="154">
        <v>0</v>
      </c>
      <c r="AK47" s="154">
        <v>0</v>
      </c>
      <c r="AL47" s="154">
        <v>0</v>
      </c>
      <c r="AM47" s="154">
        <v>0</v>
      </c>
      <c r="AN47" s="154">
        <v>0</v>
      </c>
      <c r="AO47" s="154">
        <v>0</v>
      </c>
      <c r="AP47" s="154">
        <v>0</v>
      </c>
      <c r="AQ47" s="154">
        <v>0</v>
      </c>
      <c r="AR47" s="154">
        <v>0</v>
      </c>
      <c r="AS47" s="154">
        <v>0</v>
      </c>
      <c r="AT47" s="154">
        <v>0</v>
      </c>
      <c r="AU47" s="154">
        <v>0</v>
      </c>
      <c r="AV47" s="154">
        <v>0</v>
      </c>
      <c r="AW47" s="154">
        <v>0</v>
      </c>
      <c r="AX47" s="154">
        <v>0</v>
      </c>
      <c r="AY47" s="154">
        <v>0</v>
      </c>
      <c r="AZ47" s="154">
        <v>0</v>
      </c>
      <c r="BA47" s="154">
        <v>0</v>
      </c>
      <c r="BB47" s="154">
        <v>0</v>
      </c>
      <c r="BC47" s="154">
        <v>0</v>
      </c>
      <c r="BD47" s="154">
        <v>0</v>
      </c>
    </row>
    <row r="48" spans="1:56" s="19" customFormat="1" ht="12.75">
      <c r="A48" s="2" t="s">
        <v>111</v>
      </c>
      <c r="B48" s="52"/>
      <c r="C48" s="52"/>
      <c r="D48" s="65">
        <v>0</v>
      </c>
      <c r="E48" s="65">
        <v>0</v>
      </c>
      <c r="F48" s="65">
        <v>0</v>
      </c>
      <c r="G48" s="65">
        <v>0</v>
      </c>
      <c r="H48" s="65">
        <v>0</v>
      </c>
      <c r="I48" s="65">
        <v>31</v>
      </c>
      <c r="J48" s="65">
        <v>460</v>
      </c>
      <c r="K48" s="65">
        <v>431</v>
      </c>
      <c r="L48" s="65">
        <v>416</v>
      </c>
      <c r="M48" s="65">
        <v>414</v>
      </c>
      <c r="N48" s="65">
        <v>431</v>
      </c>
      <c r="O48" s="65">
        <f t="shared" si="45"/>
        <v>567</v>
      </c>
      <c r="P48" s="67">
        <f t="shared" si="45"/>
        <v>534</v>
      </c>
      <c r="Q48" s="67">
        <f t="shared" si="45"/>
        <v>543</v>
      </c>
      <c r="R48" s="67">
        <f t="shared" si="45"/>
        <v>537</v>
      </c>
      <c r="S48" s="67">
        <f t="shared" si="45"/>
        <v>547</v>
      </c>
      <c r="T48" s="58">
        <f t="shared" si="45"/>
        <v>526</v>
      </c>
      <c r="U48" s="58">
        <f t="shared" si="45"/>
        <v>548</v>
      </c>
      <c r="V48" s="58">
        <v>547</v>
      </c>
      <c r="W48" s="66">
        <v>551</v>
      </c>
      <c r="X48" s="66">
        <v>509</v>
      </c>
      <c r="Y48" s="66">
        <v>551</v>
      </c>
      <c r="Z48" s="154">
        <v>589</v>
      </c>
      <c r="AA48" s="154">
        <v>561</v>
      </c>
      <c r="AB48" s="154">
        <v>556</v>
      </c>
      <c r="AC48" s="154">
        <v>566</v>
      </c>
      <c r="AD48" s="154">
        <v>64</v>
      </c>
      <c r="AE48" s="154">
        <v>0</v>
      </c>
      <c r="AF48" s="154">
        <v>0</v>
      </c>
      <c r="AG48" s="154">
        <v>0</v>
      </c>
      <c r="AH48" s="154">
        <v>0</v>
      </c>
      <c r="AI48" s="154">
        <v>0</v>
      </c>
      <c r="AJ48" s="154">
        <v>0</v>
      </c>
      <c r="AK48" s="154">
        <v>0</v>
      </c>
      <c r="AL48" s="154">
        <v>0</v>
      </c>
      <c r="AM48" s="154">
        <v>0</v>
      </c>
      <c r="AN48" s="154">
        <v>0</v>
      </c>
      <c r="AO48" s="154">
        <v>0</v>
      </c>
      <c r="AP48" s="154">
        <v>0</v>
      </c>
      <c r="AQ48" s="154">
        <v>0</v>
      </c>
      <c r="AR48" s="154">
        <v>0</v>
      </c>
      <c r="AS48" s="154">
        <v>0</v>
      </c>
      <c r="AT48" s="154">
        <v>0</v>
      </c>
      <c r="AU48" s="154">
        <v>0</v>
      </c>
      <c r="AV48" s="154">
        <v>0</v>
      </c>
      <c r="AW48" s="154">
        <v>0</v>
      </c>
      <c r="AX48" s="154">
        <v>0</v>
      </c>
      <c r="AY48" s="154">
        <v>0</v>
      </c>
      <c r="AZ48" s="154">
        <v>0</v>
      </c>
      <c r="BA48" s="154">
        <v>0</v>
      </c>
      <c r="BB48" s="154">
        <v>0</v>
      </c>
      <c r="BC48" s="154">
        <v>0</v>
      </c>
      <c r="BD48" s="154">
        <v>0</v>
      </c>
    </row>
    <row r="49" spans="1:56" s="19" customFormat="1" ht="12.75">
      <c r="A49" s="2" t="s">
        <v>31</v>
      </c>
      <c r="B49" s="52"/>
      <c r="C49" s="52"/>
      <c r="D49" s="65">
        <v>874</v>
      </c>
      <c r="E49" s="65">
        <v>644</v>
      </c>
      <c r="F49" s="65">
        <v>708</v>
      </c>
      <c r="G49" s="65">
        <v>838</v>
      </c>
      <c r="H49" s="65">
        <v>5146</v>
      </c>
      <c r="I49" s="65">
        <v>770</v>
      </c>
      <c r="J49" s="65">
        <v>565</v>
      </c>
      <c r="K49" s="65">
        <v>495</v>
      </c>
      <c r="L49" s="65">
        <v>573</v>
      </c>
      <c r="M49" s="65">
        <v>-573</v>
      </c>
      <c r="N49" s="65"/>
      <c r="O49" s="67"/>
      <c r="P49" s="67">
        <f aca="true" t="shared" si="46" ref="P49:U49">P19+P34</f>
        <v>0</v>
      </c>
      <c r="Q49" s="67">
        <f t="shared" si="46"/>
        <v>0</v>
      </c>
      <c r="R49" s="67">
        <f t="shared" si="46"/>
        <v>0</v>
      </c>
      <c r="S49" s="67">
        <f t="shared" si="46"/>
        <v>0</v>
      </c>
      <c r="T49" s="58">
        <f t="shared" si="46"/>
        <v>0</v>
      </c>
      <c r="U49" s="58">
        <f t="shared" si="46"/>
        <v>0</v>
      </c>
      <c r="V49" s="58">
        <v>0</v>
      </c>
      <c r="W49" s="66">
        <v>0</v>
      </c>
      <c r="X49" s="66">
        <v>0</v>
      </c>
      <c r="Y49" s="66">
        <v>0</v>
      </c>
      <c r="Z49" s="154">
        <v>0</v>
      </c>
      <c r="AA49" s="154">
        <v>0</v>
      </c>
      <c r="AB49" s="154">
        <v>0</v>
      </c>
      <c r="AC49" s="154">
        <v>0</v>
      </c>
      <c r="AD49" s="154">
        <v>0</v>
      </c>
      <c r="AE49" s="154">
        <v>0</v>
      </c>
      <c r="AF49" s="154">
        <v>0</v>
      </c>
      <c r="AG49" s="154">
        <v>0</v>
      </c>
      <c r="AH49" s="154">
        <v>0</v>
      </c>
      <c r="AI49" s="154">
        <v>0</v>
      </c>
      <c r="AJ49" s="154">
        <v>0</v>
      </c>
      <c r="AK49" s="154">
        <v>0</v>
      </c>
      <c r="AL49" s="154">
        <v>0</v>
      </c>
      <c r="AM49" s="154">
        <v>0</v>
      </c>
      <c r="AN49" s="154">
        <v>0</v>
      </c>
      <c r="AO49" s="154">
        <v>0</v>
      </c>
      <c r="AP49" s="154">
        <v>0</v>
      </c>
      <c r="AQ49" s="154">
        <v>0</v>
      </c>
      <c r="AR49" s="154">
        <v>0</v>
      </c>
      <c r="AS49" s="154">
        <v>0</v>
      </c>
      <c r="AT49" s="154">
        <v>0</v>
      </c>
      <c r="AU49" s="154">
        <v>0</v>
      </c>
      <c r="AV49" s="154">
        <v>0</v>
      </c>
      <c r="AW49" s="154">
        <v>0</v>
      </c>
      <c r="AX49" s="154">
        <v>0</v>
      </c>
      <c r="AY49" s="154">
        <v>0</v>
      </c>
      <c r="AZ49" s="154">
        <v>0</v>
      </c>
      <c r="BA49" s="154">
        <v>0</v>
      </c>
      <c r="BB49" s="154">
        <v>0</v>
      </c>
      <c r="BC49" s="154">
        <v>0</v>
      </c>
      <c r="BD49" s="154">
        <v>0</v>
      </c>
    </row>
    <row r="50" spans="1:56" ht="13.5" thickBot="1">
      <c r="A50" s="2" t="s">
        <v>29</v>
      </c>
      <c r="C50" s="2"/>
      <c r="D50" s="59">
        <f>SUM(D38:D49)</f>
        <v>9759</v>
      </c>
      <c r="E50" s="59">
        <f>SUM(E38:E49)</f>
        <v>9312</v>
      </c>
      <c r="F50" s="59">
        <f aca="true" t="shared" si="47" ref="F50:Q50">SUM(F38:F49)</f>
        <v>9686</v>
      </c>
      <c r="G50" s="59">
        <f t="shared" si="47"/>
        <v>10229</v>
      </c>
      <c r="H50" s="59">
        <f t="shared" si="47"/>
        <v>15122</v>
      </c>
      <c r="I50" s="59">
        <f t="shared" si="47"/>
        <v>15456</v>
      </c>
      <c r="J50" s="59">
        <f t="shared" si="47"/>
        <v>20614</v>
      </c>
      <c r="K50" s="59">
        <f t="shared" si="47"/>
        <v>22083</v>
      </c>
      <c r="L50" s="59">
        <f t="shared" si="47"/>
        <v>20809</v>
      </c>
      <c r="M50" s="59">
        <f t="shared" si="47"/>
        <v>19508</v>
      </c>
      <c r="N50" s="59">
        <f t="shared" si="47"/>
        <v>18559</v>
      </c>
      <c r="O50" s="59">
        <f t="shared" si="47"/>
        <v>18668</v>
      </c>
      <c r="P50" s="59">
        <f t="shared" si="47"/>
        <v>17073</v>
      </c>
      <c r="Q50" s="59">
        <f t="shared" si="47"/>
        <v>19961</v>
      </c>
      <c r="R50" s="59">
        <f aca="true" t="shared" si="48" ref="R50:W50">SUM(R38:R49)</f>
        <v>23502</v>
      </c>
      <c r="S50" s="59">
        <f t="shared" si="48"/>
        <v>23608</v>
      </c>
      <c r="T50" s="68">
        <f t="shared" si="48"/>
        <v>22698</v>
      </c>
      <c r="U50" s="68">
        <f t="shared" si="48"/>
        <v>23230</v>
      </c>
      <c r="V50" s="68">
        <f t="shared" si="48"/>
        <v>22946</v>
      </c>
      <c r="W50" s="68">
        <f t="shared" si="48"/>
        <v>23847</v>
      </c>
      <c r="X50" s="149">
        <f aca="true" t="shared" si="49" ref="X50:AC50">SUM(X38:X49)</f>
        <v>24880</v>
      </c>
      <c r="Y50" s="149">
        <f t="shared" si="49"/>
        <v>24344</v>
      </c>
      <c r="Z50" s="149">
        <f t="shared" si="49"/>
        <v>24633</v>
      </c>
      <c r="AA50" s="149">
        <f t="shared" si="49"/>
        <v>24760</v>
      </c>
      <c r="AB50" s="149">
        <f t="shared" si="49"/>
        <v>26641</v>
      </c>
      <c r="AC50" s="149">
        <f t="shared" si="49"/>
        <v>26482</v>
      </c>
      <c r="AD50" s="149">
        <f aca="true" t="shared" si="50" ref="AD50:AI50">SUM(AD38:AD49)</f>
        <v>22934</v>
      </c>
      <c r="AE50" s="149">
        <f t="shared" si="50"/>
        <v>23038</v>
      </c>
      <c r="AF50" s="149">
        <f t="shared" si="50"/>
        <v>23082</v>
      </c>
      <c r="AG50" s="149">
        <f t="shared" si="50"/>
        <v>21882</v>
      </c>
      <c r="AH50" s="149">
        <f t="shared" si="50"/>
        <v>22126</v>
      </c>
      <c r="AI50" s="149">
        <f t="shared" si="50"/>
        <v>21704</v>
      </c>
      <c r="AJ50" s="149">
        <f aca="true" t="shared" si="51" ref="AJ50:AP50">SUM(AJ38:AJ49)</f>
        <v>22919</v>
      </c>
      <c r="AK50" s="149">
        <f t="shared" si="51"/>
        <v>23805</v>
      </c>
      <c r="AL50" s="149">
        <f t="shared" si="51"/>
        <v>25444</v>
      </c>
      <c r="AM50" s="149">
        <f t="shared" si="51"/>
        <v>24716</v>
      </c>
      <c r="AN50" s="149">
        <f t="shared" si="51"/>
        <v>24321</v>
      </c>
      <c r="AO50" s="149">
        <f t="shared" si="51"/>
        <v>27387</v>
      </c>
      <c r="AP50" s="149">
        <f t="shared" si="51"/>
        <v>29378</v>
      </c>
      <c r="AQ50" s="149">
        <f aca="true" t="shared" si="52" ref="AQ50:AV50">SUM(AQ38:AQ49)</f>
        <v>28836</v>
      </c>
      <c r="AR50" s="149">
        <f t="shared" si="52"/>
        <v>28111</v>
      </c>
      <c r="AS50" s="149">
        <f t="shared" si="52"/>
        <v>29289</v>
      </c>
      <c r="AT50" s="149">
        <f t="shared" si="52"/>
        <v>29212</v>
      </c>
      <c r="AU50" s="149">
        <f t="shared" si="52"/>
        <v>30020</v>
      </c>
      <c r="AV50" s="149">
        <f t="shared" si="52"/>
        <v>27876</v>
      </c>
      <c r="AW50" s="149">
        <f aca="true" t="shared" si="53" ref="AW50:BB50">SUM(AW38:AW49)</f>
        <v>26735</v>
      </c>
      <c r="AX50" s="149">
        <f t="shared" si="53"/>
        <v>24858</v>
      </c>
      <c r="AY50" s="149">
        <f t="shared" si="53"/>
        <v>22432</v>
      </c>
      <c r="AZ50" s="149">
        <f t="shared" si="53"/>
        <v>20371</v>
      </c>
      <c r="BA50" s="149">
        <f t="shared" si="53"/>
        <v>21611</v>
      </c>
      <c r="BB50" s="149">
        <f t="shared" si="53"/>
        <v>21122</v>
      </c>
      <c r="BC50" s="149">
        <f>SUM(BC38:BC49)</f>
        <v>20087</v>
      </c>
      <c r="BD50" s="149">
        <f>SUM(BD38:BD49)</f>
        <v>19753</v>
      </c>
    </row>
    <row r="51" spans="1:25" s="124" customFormat="1" ht="12.75">
      <c r="A51" s="123"/>
      <c r="B51" s="123"/>
      <c r="C51" s="123"/>
      <c r="D51" s="122"/>
      <c r="E51" s="122"/>
      <c r="F51" s="122"/>
      <c r="G51" s="122"/>
      <c r="H51" s="122"/>
      <c r="I51" s="122"/>
      <c r="J51" s="122"/>
      <c r="K51" s="122"/>
      <c r="L51" s="65"/>
      <c r="M51" s="65"/>
      <c r="N51" s="122"/>
      <c r="O51" s="65"/>
      <c r="P51" s="65"/>
      <c r="Q51" s="65"/>
      <c r="R51" s="65"/>
      <c r="S51" s="65"/>
      <c r="T51" s="65"/>
      <c r="U51" s="65"/>
      <c r="V51" s="65"/>
      <c r="W51" s="65"/>
      <c r="X51" s="65"/>
      <c r="Y51" s="141"/>
    </row>
    <row r="52" spans="1:24" s="19" customFormat="1" ht="12.75">
      <c r="A52" s="52"/>
      <c r="B52" s="52"/>
      <c r="C52" s="52"/>
      <c r="D52" s="64"/>
      <c r="E52" s="64"/>
      <c r="F52" s="64"/>
      <c r="G52" s="64"/>
      <c r="H52" s="64"/>
      <c r="I52" s="64"/>
      <c r="J52" s="64"/>
      <c r="K52" s="64"/>
      <c r="L52" s="65"/>
      <c r="M52" s="65"/>
      <c r="N52" s="65"/>
      <c r="O52" s="65"/>
      <c r="P52" s="65"/>
      <c r="Q52" s="65"/>
      <c r="R52" s="65"/>
      <c r="S52" s="65"/>
      <c r="T52" s="65"/>
      <c r="U52" s="65"/>
      <c r="V52" s="140"/>
      <c r="W52" s="140"/>
      <c r="X52" s="140"/>
    </row>
    <row r="53" spans="1:55" ht="12.75">
      <c r="A53" s="108" t="s">
        <v>97</v>
      </c>
      <c r="C53" s="2"/>
      <c r="D53" s="62"/>
      <c r="E53" s="62"/>
      <c r="F53" s="62"/>
      <c r="G53" s="62"/>
      <c r="H53" s="62"/>
      <c r="I53" s="62"/>
      <c r="J53" s="62"/>
      <c r="K53" s="62"/>
      <c r="L53" s="67"/>
      <c r="M53" s="67"/>
      <c r="N53" s="67"/>
      <c r="O53" s="67"/>
      <c r="P53" s="67"/>
      <c r="Q53" s="67"/>
      <c r="R53" s="65"/>
      <c r="S53" s="65"/>
      <c r="T53" s="67"/>
      <c r="U53" s="67"/>
      <c r="V53" s="141"/>
      <c r="W53" s="141"/>
      <c r="X53" s="140"/>
      <c r="AS53" s="19"/>
      <c r="AT53" s="19"/>
      <c r="BC53" s="19"/>
    </row>
    <row r="54" spans="1:56" ht="12.75">
      <c r="A54" s="2" t="s">
        <v>95</v>
      </c>
      <c r="C54" s="2"/>
      <c r="D54" s="105">
        <v>1.1664</v>
      </c>
      <c r="E54" s="105">
        <v>1.185</v>
      </c>
      <c r="F54" s="105">
        <v>1.2113</v>
      </c>
      <c r="G54" s="105">
        <v>1.2261</v>
      </c>
      <c r="H54" s="105">
        <v>1.3005</v>
      </c>
      <c r="I54" s="105">
        <v>1.3199</v>
      </c>
      <c r="J54" s="105">
        <v>1.2684</v>
      </c>
      <c r="K54" s="150">
        <v>1.2677</v>
      </c>
      <c r="L54" s="150">
        <v>1.311</v>
      </c>
      <c r="M54" s="150">
        <v>1.1876</v>
      </c>
      <c r="N54" s="150">
        <v>0.9821</v>
      </c>
      <c r="O54" s="150">
        <v>1.0393</v>
      </c>
      <c r="P54" s="150">
        <v>1.1665</v>
      </c>
      <c r="Q54" s="150">
        <v>1.2353</v>
      </c>
      <c r="R54" s="150">
        <v>1.2382</v>
      </c>
      <c r="S54" s="150">
        <v>1.2837</v>
      </c>
      <c r="T54" s="150">
        <v>1.2124</v>
      </c>
      <c r="U54" s="150">
        <v>1.2528</v>
      </c>
      <c r="V54" s="150">
        <v>1.3038</v>
      </c>
      <c r="W54" s="150">
        <v>1.2663</v>
      </c>
      <c r="X54" s="151">
        <v>1.3176999999999994</v>
      </c>
      <c r="Y54" s="151">
        <v>1.2767</v>
      </c>
      <c r="Z54" s="152">
        <v>1.303</v>
      </c>
      <c r="AA54" s="152">
        <v>1.3383</v>
      </c>
      <c r="AB54" s="152">
        <v>1.2765</v>
      </c>
      <c r="AC54" s="152">
        <v>1.2973</v>
      </c>
      <c r="AD54" s="166">
        <v>1.2685</v>
      </c>
      <c r="AE54" s="166">
        <v>1.29</v>
      </c>
      <c r="AF54" s="166">
        <v>1.2406</v>
      </c>
      <c r="AG54" s="166">
        <v>1.1638</v>
      </c>
      <c r="AH54" s="166">
        <v>1.1563</v>
      </c>
      <c r="AI54" s="166">
        <v>1.1382</v>
      </c>
      <c r="AJ54" s="166">
        <v>1.1749</v>
      </c>
      <c r="AK54" s="166">
        <v>1.1545</v>
      </c>
      <c r="AL54" s="166">
        <v>1.108</v>
      </c>
      <c r="AM54" s="166">
        <v>1.0692</v>
      </c>
      <c r="AN54" s="166">
        <v>1.0454</v>
      </c>
      <c r="AO54" s="166">
        <v>1.0156</v>
      </c>
      <c r="AP54" s="166">
        <v>1.012</v>
      </c>
      <c r="AQ54" s="166">
        <v>1.0075</v>
      </c>
      <c r="AR54" s="166">
        <v>1.0056</v>
      </c>
      <c r="AS54" s="166">
        <v>1.0311</v>
      </c>
      <c r="AT54" s="166">
        <v>1.0564</v>
      </c>
      <c r="AU54" s="166">
        <v>1.0686</v>
      </c>
      <c r="AV54" s="166">
        <v>1.0502</v>
      </c>
      <c r="AW54" s="166">
        <v>1.0636</v>
      </c>
      <c r="AX54" s="166">
        <v>1.0364</v>
      </c>
      <c r="AY54" s="6">
        <v>1.0125</v>
      </c>
      <c r="AZ54" s="19">
        <v>1.0099</v>
      </c>
      <c r="BA54" s="6">
        <v>0.9904</v>
      </c>
      <c r="BB54" s="19">
        <v>0.9659</v>
      </c>
      <c r="BC54" s="19">
        <v>0.9602</v>
      </c>
      <c r="BD54" s="19">
        <v>0.9429</v>
      </c>
    </row>
    <row r="55" spans="1:56" ht="12.75">
      <c r="A55" s="2" t="s">
        <v>96</v>
      </c>
      <c r="C55" s="16"/>
      <c r="D55" s="105" t="s">
        <v>82</v>
      </c>
      <c r="E55" s="105" t="s">
        <v>82</v>
      </c>
      <c r="F55" s="105" t="s">
        <v>82</v>
      </c>
      <c r="G55" s="105" t="s">
        <v>82</v>
      </c>
      <c r="H55" s="105" t="s">
        <v>82</v>
      </c>
      <c r="I55" s="121">
        <v>0.01294</v>
      </c>
      <c r="J55" s="121">
        <v>0.01289</v>
      </c>
      <c r="K55" s="150">
        <v>0.01393</v>
      </c>
      <c r="L55" s="150">
        <v>0.01285</v>
      </c>
      <c r="M55" s="150">
        <v>0.01342</v>
      </c>
      <c r="N55" s="150">
        <v>0.01602</v>
      </c>
      <c r="O55" s="150">
        <v>0.01549</v>
      </c>
      <c r="P55" s="150">
        <v>0.015085937040350356</v>
      </c>
      <c r="Q55" s="150">
        <v>0.015607222398237006</v>
      </c>
      <c r="R55" s="150">
        <v>0.0154</v>
      </c>
      <c r="S55" s="150">
        <v>0.01542</v>
      </c>
      <c r="T55" s="150">
        <v>0.01521</v>
      </c>
      <c r="U55" s="150">
        <v>0.01566</v>
      </c>
      <c r="V55" s="150">
        <v>0.01564</v>
      </c>
      <c r="W55" s="150">
        <v>0.01566</v>
      </c>
      <c r="X55" s="151">
        <v>0.015289999999999993</v>
      </c>
      <c r="Y55" s="151">
        <v>0.01624</v>
      </c>
      <c r="Z55" s="152">
        <v>0.01669</v>
      </c>
      <c r="AA55" s="152">
        <v>0.01598</v>
      </c>
      <c r="AB55" s="152">
        <v>0.01576</v>
      </c>
      <c r="AC55" s="152">
        <v>0.01585</v>
      </c>
      <c r="AD55" s="166">
        <v>0.01509</v>
      </c>
      <c r="AE55" s="166">
        <v>0.01339</v>
      </c>
      <c r="AF55" s="166">
        <v>0.01264</v>
      </c>
      <c r="AG55" s="166">
        <v>0.012799999999999999</v>
      </c>
      <c r="AH55" s="166">
        <v>0.01242</v>
      </c>
      <c r="AI55" s="166">
        <v>0.01234</v>
      </c>
      <c r="AJ55" s="166">
        <v>0.01228</v>
      </c>
      <c r="AK55" s="166">
        <v>0.01206</v>
      </c>
      <c r="AL55" s="166">
        <v>0.01141</v>
      </c>
      <c r="AM55" s="166">
        <v>0.01142</v>
      </c>
      <c r="AN55" s="166">
        <v>0.01091</v>
      </c>
      <c r="AO55" s="166">
        <v>0.01133</v>
      </c>
      <c r="AP55" s="166">
        <v>0.01159</v>
      </c>
      <c r="AQ55" s="166">
        <v>0.01224</v>
      </c>
      <c r="AR55" s="166">
        <v>0.01262</v>
      </c>
      <c r="AS55" s="166">
        <v>0.01316</v>
      </c>
      <c r="AT55" s="166" t="s">
        <v>194</v>
      </c>
      <c r="AU55" s="166" t="s">
        <v>194</v>
      </c>
      <c r="AV55" s="166" t="s">
        <v>194</v>
      </c>
      <c r="AW55" s="166" t="s">
        <v>194</v>
      </c>
      <c r="AX55" s="166" t="s">
        <v>194</v>
      </c>
      <c r="AY55" s="6" t="s">
        <v>194</v>
      </c>
      <c r="AZ55" s="19" t="s">
        <v>194</v>
      </c>
      <c r="BA55" s="6" t="s">
        <v>194</v>
      </c>
      <c r="BB55" s="19" t="s">
        <v>194</v>
      </c>
      <c r="BC55" s="19" t="s">
        <v>194</v>
      </c>
      <c r="BD55" s="19" t="s">
        <v>194</v>
      </c>
    </row>
    <row r="56" spans="1:56" ht="12.75">
      <c r="A56" s="2" t="s">
        <v>265</v>
      </c>
      <c r="C56" s="16"/>
      <c r="D56" s="105"/>
      <c r="E56" s="105"/>
      <c r="F56" s="105"/>
      <c r="G56" s="105"/>
      <c r="H56" s="105"/>
      <c r="I56" s="121"/>
      <c r="J56" s="121"/>
      <c r="K56" s="150"/>
      <c r="L56" s="150"/>
      <c r="M56" s="150"/>
      <c r="N56" s="150"/>
      <c r="O56" s="150"/>
      <c r="P56" s="150"/>
      <c r="Q56" s="150"/>
      <c r="R56" s="150"/>
      <c r="S56" s="150"/>
      <c r="T56" s="150"/>
      <c r="U56" s="150"/>
      <c r="V56" s="150"/>
      <c r="W56" s="150"/>
      <c r="X56" s="151"/>
      <c r="Y56" s="151"/>
      <c r="Z56" s="152"/>
      <c r="AA56" s="152"/>
      <c r="AB56" s="152"/>
      <c r="AC56" s="152"/>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6">
        <v>1.8378</v>
      </c>
      <c r="AZ56" s="19">
        <v>1.8003</v>
      </c>
      <c r="BA56" s="6">
        <v>1.7809</v>
      </c>
      <c r="BB56" s="19">
        <v>1.7383</v>
      </c>
      <c r="BC56" s="19">
        <v>1.7669</v>
      </c>
      <c r="BD56" s="19">
        <v>1.7184</v>
      </c>
    </row>
    <row r="57" spans="1:24" ht="12.75">
      <c r="A57" s="19"/>
      <c r="B57" s="6"/>
      <c r="C57" s="19"/>
      <c r="L57" s="67"/>
      <c r="M57" s="67"/>
      <c r="N57" s="67"/>
      <c r="O57" s="67"/>
      <c r="P57" s="67"/>
      <c r="Q57" s="67"/>
      <c r="R57" s="65"/>
      <c r="S57" s="65"/>
      <c r="T57" s="67"/>
      <c r="U57" s="67"/>
      <c r="V57" s="141"/>
      <c r="W57" s="141"/>
      <c r="X57" s="141"/>
    </row>
    <row r="58" spans="1:24" ht="12.75">
      <c r="A58" s="84" t="s">
        <v>78</v>
      </c>
      <c r="B58" s="19"/>
      <c r="C58" s="13"/>
      <c r="L58" s="67"/>
      <c r="M58" s="67"/>
      <c r="N58" s="67"/>
      <c r="O58" s="67"/>
      <c r="P58" s="67"/>
      <c r="Q58" s="67"/>
      <c r="R58" s="65"/>
      <c r="S58" s="65"/>
      <c r="T58" s="67"/>
      <c r="U58" s="67"/>
      <c r="V58" s="141"/>
      <c r="W58" s="142"/>
      <c r="X58" s="142"/>
    </row>
    <row r="59" spans="1:56" ht="15">
      <c r="A59" s="52" t="s">
        <v>103</v>
      </c>
      <c r="B59" s="19"/>
      <c r="C59" s="85"/>
      <c r="D59" s="87">
        <v>1</v>
      </c>
      <c r="E59" s="87">
        <v>1</v>
      </c>
      <c r="F59" s="87">
        <v>1</v>
      </c>
      <c r="G59" s="87">
        <v>1</v>
      </c>
      <c r="H59" s="87">
        <v>1</v>
      </c>
      <c r="I59" s="87">
        <v>1</v>
      </c>
      <c r="J59" s="87">
        <v>1</v>
      </c>
      <c r="K59" s="87">
        <v>1</v>
      </c>
      <c r="L59" s="87">
        <v>1</v>
      </c>
      <c r="M59" s="87">
        <v>1</v>
      </c>
      <c r="N59" s="87">
        <v>1</v>
      </c>
      <c r="O59" s="87">
        <v>1</v>
      </c>
      <c r="P59" s="87">
        <v>1</v>
      </c>
      <c r="Q59" s="87">
        <v>1</v>
      </c>
      <c r="R59" s="87">
        <v>1</v>
      </c>
      <c r="S59" s="87">
        <v>1</v>
      </c>
      <c r="T59" s="87">
        <v>1</v>
      </c>
      <c r="U59" s="130">
        <v>1</v>
      </c>
      <c r="V59" s="130">
        <v>1</v>
      </c>
      <c r="W59" s="130">
        <v>1</v>
      </c>
      <c r="X59" s="130">
        <v>1</v>
      </c>
      <c r="Y59" s="130">
        <v>1</v>
      </c>
      <c r="Z59" s="155">
        <v>1</v>
      </c>
      <c r="AA59" s="155">
        <v>0.912</v>
      </c>
      <c r="AB59" s="155">
        <v>0.925966424040648</v>
      </c>
      <c r="AC59" s="157" t="s">
        <v>155</v>
      </c>
      <c r="AD59" s="157" t="s">
        <v>155</v>
      </c>
      <c r="AE59" s="157" t="s">
        <v>203</v>
      </c>
      <c r="AF59" s="157">
        <v>0.917</v>
      </c>
      <c r="AG59" s="130">
        <v>0.94</v>
      </c>
      <c r="AH59" s="130" t="s">
        <v>205</v>
      </c>
      <c r="AI59" s="130" t="s">
        <v>202</v>
      </c>
      <c r="AJ59" s="130" t="s">
        <v>207</v>
      </c>
      <c r="AK59" s="130">
        <v>0.99</v>
      </c>
      <c r="AL59" s="130">
        <v>0.98</v>
      </c>
      <c r="AM59" s="130">
        <v>0.97</v>
      </c>
      <c r="AN59" s="130">
        <v>0.97</v>
      </c>
      <c r="AO59" s="130" t="s">
        <v>211</v>
      </c>
      <c r="AP59" s="130">
        <v>0.95</v>
      </c>
      <c r="AQ59" s="130" t="s">
        <v>213</v>
      </c>
      <c r="AR59" s="130" t="s">
        <v>213</v>
      </c>
      <c r="AS59" s="130" t="s">
        <v>213</v>
      </c>
      <c r="AT59" s="130" t="s">
        <v>214</v>
      </c>
      <c r="AU59" s="130" t="s">
        <v>215</v>
      </c>
      <c r="AV59" s="130" t="s">
        <v>222</v>
      </c>
      <c r="AW59" s="130" t="s">
        <v>226</v>
      </c>
      <c r="AX59" s="130" t="s">
        <v>238</v>
      </c>
      <c r="AY59" s="130" t="s">
        <v>255</v>
      </c>
      <c r="AZ59" s="130" t="s">
        <v>267</v>
      </c>
      <c r="BA59" s="130" t="s">
        <v>289</v>
      </c>
      <c r="BB59" s="130" t="s">
        <v>307</v>
      </c>
      <c r="BC59" s="130" t="s">
        <v>314</v>
      </c>
      <c r="BD59" s="204" t="s">
        <v>326</v>
      </c>
    </row>
    <row r="60" spans="1:56" ht="15">
      <c r="A60" s="52" t="s">
        <v>104</v>
      </c>
      <c r="B60" s="19"/>
      <c r="C60" s="85"/>
      <c r="D60" s="87"/>
      <c r="E60" s="87"/>
      <c r="F60" s="87" t="s">
        <v>82</v>
      </c>
      <c r="G60" s="87" t="s">
        <v>82</v>
      </c>
      <c r="H60" s="87">
        <v>1</v>
      </c>
      <c r="I60" s="87">
        <v>1</v>
      </c>
      <c r="J60" s="87">
        <v>1</v>
      </c>
      <c r="K60" s="87">
        <v>1</v>
      </c>
      <c r="L60" s="87">
        <v>1</v>
      </c>
      <c r="M60" s="87">
        <v>1</v>
      </c>
      <c r="N60" s="87">
        <v>1</v>
      </c>
      <c r="O60" s="87">
        <v>0.971</v>
      </c>
      <c r="P60" s="87">
        <v>0.924</v>
      </c>
      <c r="Q60" s="87">
        <v>0.931</v>
      </c>
      <c r="R60" s="87">
        <v>0.971</v>
      </c>
      <c r="S60" s="87">
        <v>0.858</v>
      </c>
      <c r="T60" s="87">
        <v>0.797</v>
      </c>
      <c r="U60" s="130">
        <v>0.830575933655993</v>
      </c>
      <c r="V60" s="130">
        <v>0.8959630559292183</v>
      </c>
      <c r="W60" s="130">
        <v>0.958</v>
      </c>
      <c r="X60" s="130">
        <v>0.917</v>
      </c>
      <c r="Y60" s="130">
        <v>0.9582021661651111</v>
      </c>
      <c r="Z60" s="155">
        <v>0.9582021661651111</v>
      </c>
      <c r="AA60" s="155">
        <v>0.958</v>
      </c>
      <c r="AB60" s="155">
        <v>1</v>
      </c>
      <c r="AC60" s="157">
        <v>0.9016028495102404</v>
      </c>
      <c r="AD60" s="157" t="s">
        <v>202</v>
      </c>
      <c r="AE60" s="157">
        <v>0.967</v>
      </c>
      <c r="AF60" s="157" t="s">
        <v>204</v>
      </c>
      <c r="AG60" s="130">
        <v>1</v>
      </c>
      <c r="AH60" s="130">
        <v>0.9</v>
      </c>
      <c r="AI60" s="130" t="s">
        <v>202</v>
      </c>
      <c r="AJ60" s="130" t="s">
        <v>208</v>
      </c>
      <c r="AK60" s="130" t="s">
        <v>204</v>
      </c>
      <c r="AL60" s="130" t="s">
        <v>204</v>
      </c>
      <c r="AM60" s="130">
        <v>1</v>
      </c>
      <c r="AN60" s="130">
        <v>0.96</v>
      </c>
      <c r="AO60" s="130">
        <v>0.96</v>
      </c>
      <c r="AP60" s="130">
        <v>0.96</v>
      </c>
      <c r="AQ60" s="130">
        <v>0.96</v>
      </c>
      <c r="AR60" s="130">
        <v>0.96</v>
      </c>
      <c r="AS60" s="130">
        <v>0.92</v>
      </c>
      <c r="AT60" s="130">
        <v>0.92</v>
      </c>
      <c r="AU60" s="130">
        <v>0.93</v>
      </c>
      <c r="AV60" s="130" t="s">
        <v>205</v>
      </c>
      <c r="AW60" s="130" t="s">
        <v>227</v>
      </c>
      <c r="AX60" s="204">
        <v>0.9</v>
      </c>
      <c r="AY60" s="130" t="s">
        <v>260</v>
      </c>
      <c r="AZ60" s="205">
        <v>0.879</v>
      </c>
      <c r="BA60" s="205" t="s">
        <v>82</v>
      </c>
      <c r="BB60" s="205" t="s">
        <v>82</v>
      </c>
      <c r="BC60" s="205" t="s">
        <v>82</v>
      </c>
      <c r="BD60" s="205" t="s">
        <v>82</v>
      </c>
    </row>
    <row r="61" spans="1:56" ht="12.75">
      <c r="A61" s="52" t="s">
        <v>105</v>
      </c>
      <c r="B61" s="19"/>
      <c r="C61" s="85"/>
      <c r="D61" s="87"/>
      <c r="E61" s="87"/>
      <c r="F61" s="87"/>
      <c r="G61" s="87"/>
      <c r="H61" s="87"/>
      <c r="I61" s="87"/>
      <c r="J61" s="87">
        <v>0.949</v>
      </c>
      <c r="K61" s="87">
        <v>0.949</v>
      </c>
      <c r="L61" s="87">
        <v>0.761</v>
      </c>
      <c r="M61" s="87">
        <v>0.767</v>
      </c>
      <c r="N61" s="87">
        <v>0.752</v>
      </c>
      <c r="O61" s="87">
        <v>0.667</v>
      </c>
      <c r="P61" s="87">
        <v>0.662</v>
      </c>
      <c r="Q61" s="87">
        <v>0.713</v>
      </c>
      <c r="R61" s="87">
        <v>0.748</v>
      </c>
      <c r="S61" s="87">
        <v>0.757</v>
      </c>
      <c r="T61" s="87">
        <v>0.786</v>
      </c>
      <c r="U61" s="130">
        <v>0.8108510222976067</v>
      </c>
      <c r="V61" s="130">
        <v>0.8496294748380444</v>
      </c>
      <c r="W61" s="130">
        <v>0.856</v>
      </c>
      <c r="X61" s="130">
        <v>0.864</v>
      </c>
      <c r="Y61" s="130">
        <v>0.8842209445294528</v>
      </c>
      <c r="Z61" s="155">
        <v>0.9019617584963223</v>
      </c>
      <c r="AA61" s="155">
        <v>0.915</v>
      </c>
      <c r="AB61" s="155">
        <v>0.9087657913488641</v>
      </c>
      <c r="AC61" s="157" t="s">
        <v>82</v>
      </c>
      <c r="AD61" s="157" t="s">
        <v>82</v>
      </c>
      <c r="AE61" s="157" t="s">
        <v>82</v>
      </c>
      <c r="AF61" s="157" t="s">
        <v>82</v>
      </c>
      <c r="AG61" s="130" t="s">
        <v>82</v>
      </c>
      <c r="AH61" s="130" t="s">
        <v>82</v>
      </c>
      <c r="AI61" s="130" t="s">
        <v>82</v>
      </c>
      <c r="AJ61" s="130" t="s">
        <v>82</v>
      </c>
      <c r="AK61" s="130" t="s">
        <v>82</v>
      </c>
      <c r="AL61" s="130" t="s">
        <v>82</v>
      </c>
      <c r="AM61" s="130" t="s">
        <v>82</v>
      </c>
      <c r="AN61" s="130" t="s">
        <v>82</v>
      </c>
      <c r="AO61" s="130" t="s">
        <v>82</v>
      </c>
      <c r="AP61" s="130" t="s">
        <v>82</v>
      </c>
      <c r="AQ61" s="130" t="s">
        <v>82</v>
      </c>
      <c r="AR61" s="130" t="s">
        <v>82</v>
      </c>
      <c r="AS61" s="130" t="s">
        <v>82</v>
      </c>
      <c r="AT61" s="130" t="s">
        <v>82</v>
      </c>
      <c r="AU61" s="130" t="s">
        <v>82</v>
      </c>
      <c r="AV61" s="130" t="s">
        <v>82</v>
      </c>
      <c r="AW61" s="130" t="s">
        <v>82</v>
      </c>
      <c r="AX61" s="130" t="s">
        <v>82</v>
      </c>
      <c r="AY61" s="130" t="s">
        <v>82</v>
      </c>
      <c r="AZ61" s="130" t="s">
        <v>82</v>
      </c>
      <c r="BA61" s="130" t="s">
        <v>82</v>
      </c>
      <c r="BB61" s="130" t="s">
        <v>82</v>
      </c>
      <c r="BC61" s="130" t="s">
        <v>82</v>
      </c>
      <c r="BD61" s="130" t="s">
        <v>82</v>
      </c>
    </row>
    <row r="62" spans="1:56" ht="15">
      <c r="A62" s="52" t="s">
        <v>106</v>
      </c>
      <c r="B62" s="19"/>
      <c r="C62" s="85"/>
      <c r="D62" s="87"/>
      <c r="E62" s="87"/>
      <c r="F62" s="87"/>
      <c r="G62" s="87"/>
      <c r="H62" s="87"/>
      <c r="I62" s="87"/>
      <c r="J62" s="87"/>
      <c r="K62" s="87" t="s">
        <v>82</v>
      </c>
      <c r="L62" s="87" t="s">
        <v>82</v>
      </c>
      <c r="M62" s="87" t="s">
        <v>82</v>
      </c>
      <c r="N62" s="87" t="s">
        <v>82</v>
      </c>
      <c r="O62" s="87" t="s">
        <v>82</v>
      </c>
      <c r="P62" s="87" t="s">
        <v>82</v>
      </c>
      <c r="Q62" s="87">
        <v>1</v>
      </c>
      <c r="R62" s="87">
        <v>1</v>
      </c>
      <c r="S62" s="87">
        <v>1</v>
      </c>
      <c r="T62" s="87">
        <v>1</v>
      </c>
      <c r="U62" s="130">
        <v>0.9999996185918909</v>
      </c>
      <c r="V62" s="130">
        <v>0.9999996185918909</v>
      </c>
      <c r="W62" s="130">
        <v>1</v>
      </c>
      <c r="X62" s="130">
        <v>1</v>
      </c>
      <c r="Y62" s="130">
        <v>1</v>
      </c>
      <c r="Z62" s="155">
        <v>1</v>
      </c>
      <c r="AA62" s="155">
        <v>1</v>
      </c>
      <c r="AB62" s="155">
        <v>1</v>
      </c>
      <c r="AC62" s="157">
        <v>1</v>
      </c>
      <c r="AD62" s="157">
        <v>0.995</v>
      </c>
      <c r="AE62" s="157">
        <v>0.995</v>
      </c>
      <c r="AF62" s="157">
        <v>0.995</v>
      </c>
      <c r="AG62" s="130">
        <v>1</v>
      </c>
      <c r="AH62" s="130">
        <v>1</v>
      </c>
      <c r="AI62" s="130">
        <v>1</v>
      </c>
      <c r="AJ62" s="130">
        <v>1</v>
      </c>
      <c r="AK62" s="130" t="s">
        <v>156</v>
      </c>
      <c r="AL62" s="130" t="s">
        <v>156</v>
      </c>
      <c r="AM62" s="130" t="s">
        <v>156</v>
      </c>
      <c r="AN62" s="130" t="s">
        <v>210</v>
      </c>
      <c r="AO62" s="130">
        <v>0.95</v>
      </c>
      <c r="AP62" s="130" t="s">
        <v>205</v>
      </c>
      <c r="AQ62" s="130" t="s">
        <v>208</v>
      </c>
      <c r="AR62" s="130">
        <v>0.95</v>
      </c>
      <c r="AS62" s="130">
        <v>0.95</v>
      </c>
      <c r="AT62" s="130">
        <v>0.95</v>
      </c>
      <c r="AU62" s="130" t="s">
        <v>216</v>
      </c>
      <c r="AV62" s="130" t="s">
        <v>208</v>
      </c>
      <c r="AW62" s="130" t="s">
        <v>228</v>
      </c>
      <c r="AX62" s="130" t="s">
        <v>239</v>
      </c>
      <c r="AY62" s="130" t="s">
        <v>256</v>
      </c>
      <c r="AZ62" s="130" t="s">
        <v>268</v>
      </c>
      <c r="BA62" s="130" t="s">
        <v>290</v>
      </c>
      <c r="BB62" s="130" t="s">
        <v>308</v>
      </c>
      <c r="BC62" s="130" t="s">
        <v>315</v>
      </c>
      <c r="BD62" s="204" t="s">
        <v>327</v>
      </c>
    </row>
    <row r="63" spans="1:56" ht="15">
      <c r="A63" s="52" t="s">
        <v>107</v>
      </c>
      <c r="B63" s="19"/>
      <c r="C63" s="85"/>
      <c r="D63" s="87">
        <v>1</v>
      </c>
      <c r="E63" s="87">
        <v>1</v>
      </c>
      <c r="F63" s="87">
        <v>1</v>
      </c>
      <c r="G63" s="87">
        <v>1</v>
      </c>
      <c r="H63" s="87">
        <v>1</v>
      </c>
      <c r="I63" s="87">
        <v>1</v>
      </c>
      <c r="J63" s="87">
        <v>0.999</v>
      </c>
      <c r="K63" s="87">
        <v>0.999</v>
      </c>
      <c r="L63" s="87">
        <v>1</v>
      </c>
      <c r="M63" s="87">
        <v>1</v>
      </c>
      <c r="N63" s="87">
        <v>1</v>
      </c>
      <c r="O63" s="87">
        <v>0.999</v>
      </c>
      <c r="P63" s="87">
        <v>0.939</v>
      </c>
      <c r="Q63" s="87">
        <v>0.939</v>
      </c>
      <c r="R63" s="87">
        <v>0.94</v>
      </c>
      <c r="S63" s="87">
        <v>0.94</v>
      </c>
      <c r="T63" s="87">
        <v>0.94</v>
      </c>
      <c r="U63" s="130">
        <v>0.9800679581676105</v>
      </c>
      <c r="V63" s="130">
        <v>0.9251443107593794</v>
      </c>
      <c r="W63" s="130">
        <v>1</v>
      </c>
      <c r="X63" s="130">
        <v>0.999</v>
      </c>
      <c r="Y63" s="130">
        <v>0.9967521584644969</v>
      </c>
      <c r="Z63" s="155">
        <v>0.9650808008063944</v>
      </c>
      <c r="AA63" s="155">
        <v>0.959</v>
      </c>
      <c r="AB63" s="155">
        <v>0.9797969229693054</v>
      </c>
      <c r="AC63" s="157">
        <v>0.9642932321566297</v>
      </c>
      <c r="AD63" s="157">
        <v>0.964</v>
      </c>
      <c r="AE63" s="157">
        <v>0.99</v>
      </c>
      <c r="AF63" s="157">
        <v>0.99</v>
      </c>
      <c r="AG63" s="130">
        <v>0.94</v>
      </c>
      <c r="AH63" s="130">
        <v>0.933</v>
      </c>
      <c r="AI63" s="130" t="s">
        <v>206</v>
      </c>
      <c r="AJ63" s="130">
        <v>0.94</v>
      </c>
      <c r="AK63" s="130">
        <v>0.89</v>
      </c>
      <c r="AL63" s="130">
        <v>0.89</v>
      </c>
      <c r="AM63" s="130">
        <v>0.89</v>
      </c>
      <c r="AN63" s="130">
        <v>0.89</v>
      </c>
      <c r="AO63" s="130">
        <v>0.89</v>
      </c>
      <c r="AP63" s="130" t="s">
        <v>212</v>
      </c>
      <c r="AQ63" s="130" t="s">
        <v>212</v>
      </c>
      <c r="AR63" s="130" t="s">
        <v>212</v>
      </c>
      <c r="AS63" s="130" t="s">
        <v>212</v>
      </c>
      <c r="AT63" s="130">
        <v>0.8</v>
      </c>
      <c r="AU63" s="130" t="s">
        <v>217</v>
      </c>
      <c r="AV63" s="130" t="s">
        <v>223</v>
      </c>
      <c r="AW63" s="130" t="s">
        <v>229</v>
      </c>
      <c r="AX63" s="130" t="s">
        <v>242</v>
      </c>
      <c r="AY63" s="130" t="s">
        <v>257</v>
      </c>
      <c r="AZ63" s="130" t="s">
        <v>269</v>
      </c>
      <c r="BA63" s="130">
        <v>0.7</v>
      </c>
      <c r="BB63" s="205">
        <v>0.715</v>
      </c>
      <c r="BC63" s="130" t="s">
        <v>316</v>
      </c>
      <c r="BD63" s="204" t="s">
        <v>328</v>
      </c>
    </row>
    <row r="64" spans="1:56" ht="12.75">
      <c r="A64" s="52" t="s">
        <v>319</v>
      </c>
      <c r="B64" s="19"/>
      <c r="C64" s="85"/>
      <c r="D64" s="87"/>
      <c r="E64" s="87"/>
      <c r="F64" s="87"/>
      <c r="G64" s="87"/>
      <c r="H64" s="87">
        <v>1</v>
      </c>
      <c r="I64" s="87">
        <v>1</v>
      </c>
      <c r="J64" s="87">
        <v>1</v>
      </c>
      <c r="K64" s="87">
        <v>1</v>
      </c>
      <c r="L64" s="87">
        <v>1</v>
      </c>
      <c r="M64" s="87">
        <v>1</v>
      </c>
      <c r="N64" s="87">
        <v>1</v>
      </c>
      <c r="O64" s="87">
        <v>1</v>
      </c>
      <c r="P64" s="87">
        <v>1</v>
      </c>
      <c r="Q64" s="87">
        <v>1</v>
      </c>
      <c r="R64" s="87">
        <v>1</v>
      </c>
      <c r="S64" s="87">
        <v>1</v>
      </c>
      <c r="T64" s="87">
        <v>1</v>
      </c>
      <c r="U64" s="130">
        <v>1</v>
      </c>
      <c r="V64" s="130">
        <v>1</v>
      </c>
      <c r="W64" s="130">
        <v>1</v>
      </c>
      <c r="X64" s="130">
        <v>1</v>
      </c>
      <c r="Y64" s="130">
        <v>1</v>
      </c>
      <c r="Z64" s="155">
        <v>1</v>
      </c>
      <c r="AA64" s="155">
        <v>1</v>
      </c>
      <c r="AB64" s="155">
        <v>1</v>
      </c>
      <c r="AC64" s="157">
        <v>1</v>
      </c>
      <c r="AD64" s="157">
        <v>1</v>
      </c>
      <c r="AE64" s="157">
        <v>1</v>
      </c>
      <c r="AF64" s="157">
        <v>1</v>
      </c>
      <c r="AG64" s="130">
        <v>1</v>
      </c>
      <c r="AH64" s="130">
        <v>1</v>
      </c>
      <c r="AI64" s="130">
        <v>1</v>
      </c>
      <c r="AJ64" s="130">
        <v>1</v>
      </c>
      <c r="AK64" s="130">
        <v>1</v>
      </c>
      <c r="AL64" s="130">
        <v>1</v>
      </c>
      <c r="AM64" s="130">
        <v>1</v>
      </c>
      <c r="AN64" s="130">
        <v>1</v>
      </c>
      <c r="AO64" s="130">
        <v>1</v>
      </c>
      <c r="AP64" s="130">
        <v>1</v>
      </c>
      <c r="AQ64" s="130">
        <v>1</v>
      </c>
      <c r="AR64" s="130">
        <v>1</v>
      </c>
      <c r="AS64" s="130">
        <v>1</v>
      </c>
      <c r="AT64" s="130">
        <v>1</v>
      </c>
      <c r="AU64" s="130">
        <v>1</v>
      </c>
      <c r="AV64" s="130">
        <v>1</v>
      </c>
      <c r="AW64" s="130">
        <v>1</v>
      </c>
      <c r="AX64" s="204">
        <v>1</v>
      </c>
      <c r="AY64" s="204">
        <v>1</v>
      </c>
      <c r="AZ64" s="204">
        <v>1</v>
      </c>
      <c r="BA64" s="204">
        <v>1</v>
      </c>
      <c r="BB64" s="204">
        <v>1</v>
      </c>
      <c r="BC64" s="204">
        <v>1</v>
      </c>
      <c r="BD64" s="204">
        <v>1</v>
      </c>
    </row>
    <row r="65" spans="1:56" ht="15">
      <c r="A65" s="52" t="s">
        <v>180</v>
      </c>
      <c r="B65" s="19"/>
      <c r="C65" s="85"/>
      <c r="D65" s="87"/>
      <c r="E65" s="87"/>
      <c r="F65" s="87"/>
      <c r="G65" s="87"/>
      <c r="H65" s="87"/>
      <c r="I65" s="87"/>
      <c r="J65" s="87"/>
      <c r="K65" s="87" t="s">
        <v>82</v>
      </c>
      <c r="L65" s="87" t="s">
        <v>82</v>
      </c>
      <c r="M65" s="87" t="s">
        <v>82</v>
      </c>
      <c r="N65" s="87" t="s">
        <v>82</v>
      </c>
      <c r="O65" s="87" t="s">
        <v>82</v>
      </c>
      <c r="P65" s="87" t="s">
        <v>82</v>
      </c>
      <c r="Q65" s="87" t="s">
        <v>82</v>
      </c>
      <c r="R65" s="87" t="s">
        <v>82</v>
      </c>
      <c r="S65" s="87" t="s">
        <v>82</v>
      </c>
      <c r="T65" s="87" t="s">
        <v>82</v>
      </c>
      <c r="U65" s="87" t="s">
        <v>82</v>
      </c>
      <c r="V65" s="87" t="s">
        <v>82</v>
      </c>
      <c r="W65" s="87" t="s">
        <v>82</v>
      </c>
      <c r="X65" s="87" t="s">
        <v>82</v>
      </c>
      <c r="Y65" s="87" t="s">
        <v>82</v>
      </c>
      <c r="Z65" s="87" t="s">
        <v>82</v>
      </c>
      <c r="AA65" s="87" t="s">
        <v>82</v>
      </c>
      <c r="AB65" s="87" t="s">
        <v>82</v>
      </c>
      <c r="AC65" s="87" t="s">
        <v>82</v>
      </c>
      <c r="AD65" s="87" t="s">
        <v>82</v>
      </c>
      <c r="AE65" s="87" t="s">
        <v>82</v>
      </c>
      <c r="AF65" s="87" t="s">
        <v>82</v>
      </c>
      <c r="AG65" s="87" t="s">
        <v>82</v>
      </c>
      <c r="AH65" s="87" t="s">
        <v>82</v>
      </c>
      <c r="AI65" s="87" t="s">
        <v>82</v>
      </c>
      <c r="AJ65" s="87" t="s">
        <v>82</v>
      </c>
      <c r="AK65" s="87" t="s">
        <v>82</v>
      </c>
      <c r="AL65" s="87" t="s">
        <v>82</v>
      </c>
      <c r="AM65" s="87" t="s">
        <v>82</v>
      </c>
      <c r="AN65" s="130" t="s">
        <v>82</v>
      </c>
      <c r="AO65" s="130">
        <v>0.984</v>
      </c>
      <c r="AP65" s="130" t="s">
        <v>204</v>
      </c>
      <c r="AQ65" s="130">
        <v>1</v>
      </c>
      <c r="AR65" s="130">
        <v>1</v>
      </c>
      <c r="AS65" s="130">
        <v>1</v>
      </c>
      <c r="AT65" s="130">
        <v>1</v>
      </c>
      <c r="AU65" s="130">
        <v>1</v>
      </c>
      <c r="AV65" s="130">
        <v>1</v>
      </c>
      <c r="AW65" s="130">
        <v>1</v>
      </c>
      <c r="AX65" s="204">
        <v>0.989</v>
      </c>
      <c r="AY65" s="204">
        <v>0.981</v>
      </c>
      <c r="AZ65" s="204">
        <v>0.985</v>
      </c>
      <c r="BA65" s="204">
        <v>0.95</v>
      </c>
      <c r="BB65" s="130" t="s">
        <v>310</v>
      </c>
      <c r="BC65" s="205">
        <v>0.973</v>
      </c>
      <c r="BD65" s="204">
        <v>0.96</v>
      </c>
    </row>
    <row r="66" spans="1:56" ht="12.75">
      <c r="A66" s="52" t="s">
        <v>253</v>
      </c>
      <c r="B66" s="19"/>
      <c r="C66" s="85"/>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130"/>
      <c r="AO66" s="130"/>
      <c r="AP66" s="130"/>
      <c r="AQ66" s="130" t="s">
        <v>82</v>
      </c>
      <c r="AR66" s="130" t="s">
        <v>82</v>
      </c>
      <c r="AS66" s="130" t="s">
        <v>82</v>
      </c>
      <c r="AT66" s="130" t="s">
        <v>82</v>
      </c>
      <c r="AU66" s="130" t="s">
        <v>82</v>
      </c>
      <c r="AV66" s="130" t="s">
        <v>82</v>
      </c>
      <c r="AW66" s="130" t="s">
        <v>82</v>
      </c>
      <c r="AX66" s="130" t="s">
        <v>82</v>
      </c>
      <c r="AY66" s="205">
        <v>0.972</v>
      </c>
      <c r="AZ66" s="205">
        <v>0.981</v>
      </c>
      <c r="BA66" s="205">
        <v>0.981</v>
      </c>
      <c r="BB66" s="205">
        <v>0.981</v>
      </c>
      <c r="BC66" s="205">
        <v>0.98</v>
      </c>
      <c r="BD66" s="204">
        <v>0.974</v>
      </c>
    </row>
    <row r="67" spans="1:56" ht="12.75">
      <c r="A67" s="52" t="s">
        <v>138</v>
      </c>
      <c r="B67" s="19"/>
      <c r="C67" s="85"/>
      <c r="D67" s="87"/>
      <c r="E67" s="87"/>
      <c r="F67" s="87"/>
      <c r="G67" s="87"/>
      <c r="H67" s="87"/>
      <c r="I67" s="87">
        <v>1</v>
      </c>
      <c r="J67" s="87">
        <v>1</v>
      </c>
      <c r="K67" s="87">
        <v>1</v>
      </c>
      <c r="L67" s="87">
        <v>1</v>
      </c>
      <c r="M67" s="87">
        <v>1</v>
      </c>
      <c r="N67" s="87">
        <v>0.953</v>
      </c>
      <c r="O67" s="87">
        <v>0.628</v>
      </c>
      <c r="P67" s="87">
        <v>0.622</v>
      </c>
      <c r="Q67" s="87">
        <v>0.622</v>
      </c>
      <c r="R67" s="87">
        <v>0.622</v>
      </c>
      <c r="S67" s="87">
        <v>0.627</v>
      </c>
      <c r="T67" s="87">
        <v>0.651</v>
      </c>
      <c r="U67" s="130">
        <v>0.25626518845597934</v>
      </c>
      <c r="V67" s="130">
        <v>0.39327781504799264</v>
      </c>
      <c r="W67" s="87" t="s">
        <v>82</v>
      </c>
      <c r="X67" s="87" t="s">
        <v>82</v>
      </c>
      <c r="Y67" s="130" t="s">
        <v>82</v>
      </c>
      <c r="Z67" s="155" t="s">
        <v>82</v>
      </c>
      <c r="AA67" s="155" t="s">
        <v>82</v>
      </c>
      <c r="AB67" s="155" t="s">
        <v>82</v>
      </c>
      <c r="AC67" s="157" t="s">
        <v>82</v>
      </c>
      <c r="AD67" s="157" t="s">
        <v>82</v>
      </c>
      <c r="AE67" s="157" t="s">
        <v>82</v>
      </c>
      <c r="AF67" s="157" t="s">
        <v>82</v>
      </c>
      <c r="AG67" s="130" t="s">
        <v>82</v>
      </c>
      <c r="AH67" s="130" t="s">
        <v>82</v>
      </c>
      <c r="AI67" s="130" t="s">
        <v>82</v>
      </c>
      <c r="AJ67" s="130" t="s">
        <v>82</v>
      </c>
      <c r="AK67" s="130" t="s">
        <v>82</v>
      </c>
      <c r="AL67" s="130" t="s">
        <v>82</v>
      </c>
      <c r="AM67" s="130" t="s">
        <v>82</v>
      </c>
      <c r="AN67" s="130" t="s">
        <v>82</v>
      </c>
      <c r="AO67" s="130" t="s">
        <v>82</v>
      </c>
      <c r="AP67" s="130" t="s">
        <v>82</v>
      </c>
      <c r="AQ67" s="130" t="s">
        <v>82</v>
      </c>
      <c r="AR67" s="130" t="s">
        <v>82</v>
      </c>
      <c r="AS67" s="130" t="s">
        <v>82</v>
      </c>
      <c r="AT67" s="130" t="s">
        <v>82</v>
      </c>
      <c r="AU67" s="130" t="s">
        <v>82</v>
      </c>
      <c r="AV67" s="130" t="s">
        <v>82</v>
      </c>
      <c r="AW67" s="130" t="s">
        <v>82</v>
      </c>
      <c r="AX67" s="130" t="s">
        <v>82</v>
      </c>
      <c r="AY67" s="130" t="s">
        <v>82</v>
      </c>
      <c r="AZ67" s="130" t="s">
        <v>82</v>
      </c>
      <c r="BA67" s="130" t="s">
        <v>82</v>
      </c>
      <c r="BB67" s="130" t="s">
        <v>82</v>
      </c>
      <c r="BC67" s="130" t="s">
        <v>82</v>
      </c>
      <c r="BD67" s="130" t="s">
        <v>82</v>
      </c>
    </row>
    <row r="68" spans="1:56" ht="12.75">
      <c r="A68" s="52" t="s">
        <v>109</v>
      </c>
      <c r="B68" s="19"/>
      <c r="C68" s="85"/>
      <c r="D68" s="87"/>
      <c r="E68" s="87"/>
      <c r="F68" s="87"/>
      <c r="G68" s="87"/>
      <c r="H68" s="87"/>
      <c r="I68" s="87">
        <v>0.947</v>
      </c>
      <c r="J68" s="87">
        <v>0.947</v>
      </c>
      <c r="K68" s="87">
        <v>0.947</v>
      </c>
      <c r="L68" s="87">
        <v>0.938</v>
      </c>
      <c r="M68" s="87">
        <v>0.964</v>
      </c>
      <c r="N68" s="87">
        <v>0.948</v>
      </c>
      <c r="O68" s="87">
        <v>0.948</v>
      </c>
      <c r="P68" s="87">
        <v>0.911</v>
      </c>
      <c r="Q68" s="87">
        <v>0.921</v>
      </c>
      <c r="R68" s="87">
        <v>0.897</v>
      </c>
      <c r="S68" s="87">
        <v>0.817</v>
      </c>
      <c r="T68" s="87">
        <v>0.894</v>
      </c>
      <c r="U68" s="130">
        <v>0.8941936854191347</v>
      </c>
      <c r="V68" s="130">
        <v>0.8869202186365418</v>
      </c>
      <c r="W68" s="130">
        <v>0.887</v>
      </c>
      <c r="X68" s="130">
        <v>0.887</v>
      </c>
      <c r="Y68" s="130">
        <v>0.8941936854191348</v>
      </c>
      <c r="Z68" s="155">
        <v>0.8589481803689148</v>
      </c>
      <c r="AA68" s="155">
        <v>0.776</v>
      </c>
      <c r="AB68" s="155">
        <v>0.7424094401126222</v>
      </c>
      <c r="AC68" s="157">
        <v>0.6628142252230618</v>
      </c>
      <c r="AD68" s="157" t="s">
        <v>82</v>
      </c>
      <c r="AE68" s="157" t="s">
        <v>82</v>
      </c>
      <c r="AF68" s="157" t="s">
        <v>82</v>
      </c>
      <c r="AG68" s="130" t="s">
        <v>82</v>
      </c>
      <c r="AH68" s="130" t="s">
        <v>82</v>
      </c>
      <c r="AI68" s="130" t="s">
        <v>82</v>
      </c>
      <c r="AJ68" s="130" t="s">
        <v>82</v>
      </c>
      <c r="AK68" s="130" t="s">
        <v>82</v>
      </c>
      <c r="AL68" s="130" t="s">
        <v>82</v>
      </c>
      <c r="AM68" s="130" t="s">
        <v>82</v>
      </c>
      <c r="AN68" s="130" t="s">
        <v>82</v>
      </c>
      <c r="AO68" s="130" t="s">
        <v>82</v>
      </c>
      <c r="AP68" s="130" t="s">
        <v>82</v>
      </c>
      <c r="AQ68" s="130" t="s">
        <v>82</v>
      </c>
      <c r="AR68" s="130" t="s">
        <v>82</v>
      </c>
      <c r="AS68" s="130" t="s">
        <v>82</v>
      </c>
      <c r="AT68" s="130" t="s">
        <v>82</v>
      </c>
      <c r="AU68" s="130" t="s">
        <v>82</v>
      </c>
      <c r="AV68" s="130" t="s">
        <v>82</v>
      </c>
      <c r="AW68" s="130" t="s">
        <v>82</v>
      </c>
      <c r="AX68" s="130" t="s">
        <v>82</v>
      </c>
      <c r="AY68" s="130" t="s">
        <v>82</v>
      </c>
      <c r="AZ68" s="130" t="s">
        <v>82</v>
      </c>
      <c r="BA68" s="130" t="s">
        <v>82</v>
      </c>
      <c r="BB68" s="130" t="s">
        <v>82</v>
      </c>
      <c r="BC68" s="130" t="s">
        <v>82</v>
      </c>
      <c r="BD68" s="130" t="s">
        <v>82</v>
      </c>
    </row>
    <row r="69" spans="1:56" ht="12.75">
      <c r="A69" s="52" t="s">
        <v>110</v>
      </c>
      <c r="B69" s="19"/>
      <c r="C69" s="85"/>
      <c r="D69" s="87"/>
      <c r="E69" s="87"/>
      <c r="F69" s="87"/>
      <c r="G69" s="87"/>
      <c r="H69" s="87"/>
      <c r="I69" s="87">
        <v>1</v>
      </c>
      <c r="J69" s="87">
        <v>1</v>
      </c>
      <c r="K69" s="87">
        <v>1</v>
      </c>
      <c r="L69" s="87">
        <v>1</v>
      </c>
      <c r="M69" s="87">
        <v>1</v>
      </c>
      <c r="N69" s="87">
        <v>1</v>
      </c>
      <c r="O69" s="87">
        <v>1</v>
      </c>
      <c r="P69" s="87">
        <v>1</v>
      </c>
      <c r="Q69" s="87">
        <v>1</v>
      </c>
      <c r="R69" s="87">
        <v>1</v>
      </c>
      <c r="S69" s="87">
        <v>1</v>
      </c>
      <c r="T69" s="87">
        <v>1</v>
      </c>
      <c r="U69" s="130">
        <v>1</v>
      </c>
      <c r="V69" s="130">
        <v>1</v>
      </c>
      <c r="W69" s="130">
        <v>1</v>
      </c>
      <c r="X69" s="130">
        <v>1</v>
      </c>
      <c r="Y69" s="130">
        <v>1</v>
      </c>
      <c r="Z69" s="155">
        <v>1</v>
      </c>
      <c r="AA69" s="155">
        <v>1</v>
      </c>
      <c r="AB69" s="155">
        <v>0.9999999999999999</v>
      </c>
      <c r="AC69" s="157">
        <v>0.9999999999999999</v>
      </c>
      <c r="AD69" s="157" t="s">
        <v>82</v>
      </c>
      <c r="AE69" s="157" t="s">
        <v>82</v>
      </c>
      <c r="AF69" s="157" t="s">
        <v>82</v>
      </c>
      <c r="AG69" s="130" t="s">
        <v>82</v>
      </c>
      <c r="AH69" s="130" t="s">
        <v>82</v>
      </c>
      <c r="AI69" s="130" t="s">
        <v>82</v>
      </c>
      <c r="AJ69" s="130" t="s">
        <v>82</v>
      </c>
      <c r="AK69" s="130" t="s">
        <v>82</v>
      </c>
      <c r="AL69" s="130" t="s">
        <v>82</v>
      </c>
      <c r="AM69" s="130" t="s">
        <v>82</v>
      </c>
      <c r="AN69" s="130" t="s">
        <v>82</v>
      </c>
      <c r="AO69" s="130" t="s">
        <v>82</v>
      </c>
      <c r="AP69" s="130" t="s">
        <v>82</v>
      </c>
      <c r="AQ69" s="130" t="s">
        <v>82</v>
      </c>
      <c r="AR69" s="130" t="s">
        <v>82</v>
      </c>
      <c r="AS69" s="130" t="s">
        <v>82</v>
      </c>
      <c r="AT69" s="130" t="s">
        <v>82</v>
      </c>
      <c r="AU69" s="130" t="s">
        <v>82</v>
      </c>
      <c r="AV69" s="130" t="s">
        <v>82</v>
      </c>
      <c r="AW69" s="130" t="s">
        <v>82</v>
      </c>
      <c r="AX69" s="130" t="s">
        <v>82</v>
      </c>
      <c r="AY69" s="130" t="s">
        <v>82</v>
      </c>
      <c r="AZ69" s="130" t="s">
        <v>82</v>
      </c>
      <c r="BA69" s="130" t="s">
        <v>82</v>
      </c>
      <c r="BB69" s="130" t="s">
        <v>82</v>
      </c>
      <c r="BC69" s="130" t="s">
        <v>82</v>
      </c>
      <c r="BD69" s="130" t="s">
        <v>82</v>
      </c>
    </row>
    <row r="70" spans="1:56" s="19" customFormat="1" ht="12.75">
      <c r="A70" s="52" t="s">
        <v>111</v>
      </c>
      <c r="C70" s="86"/>
      <c r="D70" s="87"/>
      <c r="E70" s="87"/>
      <c r="F70" s="87"/>
      <c r="G70" s="87"/>
      <c r="H70" s="87"/>
      <c r="I70" s="87">
        <v>1</v>
      </c>
      <c r="J70" s="87">
        <v>1</v>
      </c>
      <c r="K70" s="87">
        <v>1</v>
      </c>
      <c r="L70" s="87">
        <v>1</v>
      </c>
      <c r="M70" s="87">
        <v>1</v>
      </c>
      <c r="N70" s="87">
        <v>1</v>
      </c>
      <c r="O70" s="87">
        <v>1</v>
      </c>
      <c r="P70" s="87">
        <v>1</v>
      </c>
      <c r="Q70" s="87">
        <v>1</v>
      </c>
      <c r="R70" s="87">
        <v>1</v>
      </c>
      <c r="S70" s="87">
        <v>1</v>
      </c>
      <c r="T70" s="87">
        <v>1</v>
      </c>
      <c r="U70" s="130">
        <v>1</v>
      </c>
      <c r="V70" s="130">
        <v>1</v>
      </c>
      <c r="W70" s="130">
        <v>1</v>
      </c>
      <c r="X70" s="130">
        <v>1</v>
      </c>
      <c r="Y70" s="130">
        <v>1</v>
      </c>
      <c r="Z70" s="156">
        <v>1</v>
      </c>
      <c r="AA70" s="156">
        <v>1</v>
      </c>
      <c r="AB70" s="156">
        <v>1</v>
      </c>
      <c r="AC70" s="156">
        <v>1</v>
      </c>
      <c r="AD70" s="156" t="s">
        <v>82</v>
      </c>
      <c r="AE70" s="156" t="s">
        <v>82</v>
      </c>
      <c r="AF70" s="156" t="s">
        <v>82</v>
      </c>
      <c r="AG70" s="173" t="s">
        <v>82</v>
      </c>
      <c r="AH70" s="173" t="s">
        <v>82</v>
      </c>
      <c r="AI70" s="173" t="s">
        <v>82</v>
      </c>
      <c r="AJ70" s="173" t="s">
        <v>82</v>
      </c>
      <c r="AK70" s="173" t="s">
        <v>82</v>
      </c>
      <c r="AL70" s="173" t="s">
        <v>82</v>
      </c>
      <c r="AM70" s="173" t="s">
        <v>82</v>
      </c>
      <c r="AN70" s="173" t="s">
        <v>82</v>
      </c>
      <c r="AO70" s="173" t="s">
        <v>82</v>
      </c>
      <c r="AP70" s="173" t="s">
        <v>82</v>
      </c>
      <c r="AQ70" s="173" t="s">
        <v>82</v>
      </c>
      <c r="AR70" s="173" t="s">
        <v>82</v>
      </c>
      <c r="AS70" s="173" t="s">
        <v>82</v>
      </c>
      <c r="AT70" s="173" t="s">
        <v>82</v>
      </c>
      <c r="AU70" s="173" t="s">
        <v>82</v>
      </c>
      <c r="AV70" s="173" t="s">
        <v>82</v>
      </c>
      <c r="AW70" s="173" t="s">
        <v>82</v>
      </c>
      <c r="AX70" s="173" t="s">
        <v>82</v>
      </c>
      <c r="AY70" s="173" t="s">
        <v>82</v>
      </c>
      <c r="AZ70" s="173" t="s">
        <v>82</v>
      </c>
      <c r="BA70" s="173" t="s">
        <v>82</v>
      </c>
      <c r="BB70" s="173" t="s">
        <v>82</v>
      </c>
      <c r="BC70" s="173" t="s">
        <v>82</v>
      </c>
      <c r="BD70" s="173" t="s">
        <v>82</v>
      </c>
    </row>
    <row r="71" spans="1:56" s="19" customFormat="1" ht="15">
      <c r="A71" s="88" t="s">
        <v>42</v>
      </c>
      <c r="B71" s="89"/>
      <c r="C71" s="90"/>
      <c r="D71" s="91">
        <v>1</v>
      </c>
      <c r="E71" s="91">
        <v>1</v>
      </c>
      <c r="F71" s="91">
        <v>1</v>
      </c>
      <c r="G71" s="91">
        <v>1</v>
      </c>
      <c r="H71" s="91">
        <v>1</v>
      </c>
      <c r="I71" s="91">
        <v>1</v>
      </c>
      <c r="J71" s="91">
        <v>0.979</v>
      </c>
      <c r="K71" s="91">
        <v>0.979</v>
      </c>
      <c r="L71" s="91">
        <v>0.901</v>
      </c>
      <c r="M71" s="91">
        <v>0.904</v>
      </c>
      <c r="N71" s="91">
        <v>0.898</v>
      </c>
      <c r="O71" s="91">
        <v>0.96</v>
      </c>
      <c r="P71" s="91">
        <v>0.853</v>
      </c>
      <c r="Q71" s="91">
        <v>0.948</v>
      </c>
      <c r="R71" s="91">
        <v>0.955</v>
      </c>
      <c r="S71" s="91">
        <v>0.952</v>
      </c>
      <c r="T71" s="91">
        <v>0.955</v>
      </c>
      <c r="U71" s="131">
        <v>0.9606095296729271</v>
      </c>
      <c r="V71" s="131">
        <v>0.9699101778626839</v>
      </c>
      <c r="W71" s="131">
        <v>0.974</v>
      </c>
      <c r="X71" s="131">
        <v>0.973</v>
      </c>
      <c r="Y71" s="131">
        <v>0.9783793135072377</v>
      </c>
      <c r="Z71" s="157">
        <v>0.9814355688980979</v>
      </c>
      <c r="AA71" s="157">
        <v>0.966</v>
      </c>
      <c r="AB71" s="157">
        <v>0.969145338511117</v>
      </c>
      <c r="AC71" s="157">
        <v>0.9310180521512725</v>
      </c>
      <c r="AD71" s="157">
        <v>0.926</v>
      </c>
      <c r="AE71" s="157">
        <v>0.931</v>
      </c>
      <c r="AF71" s="157">
        <v>0.974</v>
      </c>
      <c r="AG71" s="131">
        <v>0.984</v>
      </c>
      <c r="AH71" s="131">
        <v>0.971</v>
      </c>
      <c r="AI71" s="131">
        <v>0.979</v>
      </c>
      <c r="AJ71" s="131">
        <v>0.984</v>
      </c>
      <c r="AK71" s="131">
        <v>0.974</v>
      </c>
      <c r="AL71" s="131">
        <v>0.975</v>
      </c>
      <c r="AM71" s="131">
        <v>0.973</v>
      </c>
      <c r="AN71" s="131">
        <v>0.973</v>
      </c>
      <c r="AO71" s="131">
        <v>0.95</v>
      </c>
      <c r="AP71" s="131">
        <v>0.927</v>
      </c>
      <c r="AQ71" s="131">
        <v>0.927</v>
      </c>
      <c r="AR71" s="131">
        <v>0.932</v>
      </c>
      <c r="AS71" s="131">
        <v>0.925</v>
      </c>
      <c r="AT71" s="131">
        <v>0.923</v>
      </c>
      <c r="AU71" s="130">
        <v>0.89</v>
      </c>
      <c r="AV71" s="130" t="s">
        <v>216</v>
      </c>
      <c r="AW71" s="130" t="s">
        <v>234</v>
      </c>
      <c r="AX71" s="131" t="s">
        <v>240</v>
      </c>
      <c r="AY71" s="131" t="s">
        <v>261</v>
      </c>
      <c r="AZ71" s="131" t="s">
        <v>271</v>
      </c>
      <c r="BA71" s="131" t="s">
        <v>300</v>
      </c>
      <c r="BB71" s="131" t="s">
        <v>309</v>
      </c>
      <c r="BC71" s="131" t="s">
        <v>317</v>
      </c>
      <c r="BD71" s="232">
        <v>0.939</v>
      </c>
    </row>
    <row r="72" spans="1:56" s="19" customFormat="1" ht="15">
      <c r="A72" s="52" t="s">
        <v>43</v>
      </c>
      <c r="C72" s="86"/>
      <c r="D72" s="120">
        <v>1</v>
      </c>
      <c r="E72" s="120">
        <v>1</v>
      </c>
      <c r="F72" s="120">
        <v>1</v>
      </c>
      <c r="G72" s="120">
        <v>1</v>
      </c>
      <c r="H72" s="120">
        <v>1</v>
      </c>
      <c r="I72" s="120">
        <v>1</v>
      </c>
      <c r="J72" s="120">
        <v>0.999</v>
      </c>
      <c r="K72" s="120">
        <v>0.999</v>
      </c>
      <c r="L72" s="120">
        <v>1</v>
      </c>
      <c r="M72" s="120">
        <v>1</v>
      </c>
      <c r="N72" s="120">
        <v>1</v>
      </c>
      <c r="O72" s="120">
        <v>0.999</v>
      </c>
      <c r="P72" s="120">
        <v>0.962</v>
      </c>
      <c r="Q72" s="120">
        <v>0.963</v>
      </c>
      <c r="R72" s="120">
        <v>0.963</v>
      </c>
      <c r="S72" s="120">
        <v>0.963</v>
      </c>
      <c r="T72" s="120">
        <v>0.963</v>
      </c>
      <c r="U72" s="133">
        <v>0.9875988342584998</v>
      </c>
      <c r="V72" s="133">
        <v>0.9534268582830945</v>
      </c>
      <c r="W72" s="133">
        <v>1</v>
      </c>
      <c r="X72" s="133">
        <v>0.999</v>
      </c>
      <c r="Y72" s="130">
        <v>0.9979790523567181</v>
      </c>
      <c r="Z72" s="157">
        <v>0.9782717621706012</v>
      </c>
      <c r="AA72" s="157">
        <v>0.975</v>
      </c>
      <c r="AB72" s="157">
        <v>0.9908724646075576</v>
      </c>
      <c r="AC72" s="157">
        <v>0.9838571752793275</v>
      </c>
      <c r="AD72" s="157">
        <v>0.984</v>
      </c>
      <c r="AE72" s="157">
        <v>0.995</v>
      </c>
      <c r="AF72" s="157">
        <v>0.995</v>
      </c>
      <c r="AG72" s="130">
        <v>0.971</v>
      </c>
      <c r="AH72" s="130">
        <v>0.97</v>
      </c>
      <c r="AI72" s="130">
        <v>0.97</v>
      </c>
      <c r="AJ72" s="130">
        <v>0.973</v>
      </c>
      <c r="AK72" s="130">
        <v>0.949</v>
      </c>
      <c r="AL72" s="130">
        <v>0.949</v>
      </c>
      <c r="AM72" s="130">
        <v>0.949</v>
      </c>
      <c r="AN72" s="130">
        <v>0.949</v>
      </c>
      <c r="AO72" s="130">
        <v>0.959</v>
      </c>
      <c r="AP72" s="130">
        <v>0.93</v>
      </c>
      <c r="AQ72" s="130">
        <v>0.93</v>
      </c>
      <c r="AR72" s="130">
        <v>0.934</v>
      </c>
      <c r="AS72" s="130">
        <v>0.938</v>
      </c>
      <c r="AT72" s="130">
        <v>0.938</v>
      </c>
      <c r="AU72" s="130">
        <v>0.95</v>
      </c>
      <c r="AV72" s="130" t="s">
        <v>206</v>
      </c>
      <c r="AW72" s="130" t="s">
        <v>235</v>
      </c>
      <c r="AX72" s="133">
        <v>0.907</v>
      </c>
      <c r="AY72" s="133">
        <v>0.895</v>
      </c>
      <c r="AZ72" s="133">
        <v>0.901</v>
      </c>
      <c r="BA72" s="232">
        <v>0.89</v>
      </c>
      <c r="BB72" s="232">
        <v>0.907</v>
      </c>
      <c r="BC72" s="232">
        <v>0.94</v>
      </c>
      <c r="BD72" s="232">
        <v>0.935</v>
      </c>
    </row>
    <row r="73" spans="1:56" s="19" customFormat="1" ht="12.75">
      <c r="A73" s="52" t="s">
        <v>44</v>
      </c>
      <c r="C73" s="86"/>
      <c r="D73" s="87"/>
      <c r="E73" s="87"/>
      <c r="F73" s="87"/>
      <c r="G73" s="87"/>
      <c r="H73" s="87"/>
      <c r="I73" s="87">
        <v>0.986</v>
      </c>
      <c r="J73" s="87">
        <v>0.986</v>
      </c>
      <c r="K73" s="87">
        <v>0.986</v>
      </c>
      <c r="L73" s="87">
        <v>0.983</v>
      </c>
      <c r="M73" s="87">
        <v>0.99</v>
      </c>
      <c r="N73" s="87">
        <v>0.959</v>
      </c>
      <c r="O73" s="87">
        <v>0.778</v>
      </c>
      <c r="P73" s="87">
        <v>0.764</v>
      </c>
      <c r="Q73" s="87">
        <v>0.767</v>
      </c>
      <c r="R73" s="87">
        <v>0.761</v>
      </c>
      <c r="S73" s="87">
        <v>0.742</v>
      </c>
      <c r="T73" s="87">
        <v>0.776</v>
      </c>
      <c r="U73" s="130">
        <v>0.5553440783904551</v>
      </c>
      <c r="V73" s="130">
        <v>0.6320222848696874</v>
      </c>
      <c r="W73" s="130">
        <v>0.93</v>
      </c>
      <c r="X73" s="130">
        <v>0.93</v>
      </c>
      <c r="Y73" s="130">
        <v>0.9355937787316585</v>
      </c>
      <c r="Z73" s="157">
        <v>0.9141711689309833</v>
      </c>
      <c r="AA73" s="157">
        <v>0.864</v>
      </c>
      <c r="AB73" s="157">
        <v>0.843258337911758</v>
      </c>
      <c r="AC73" s="157">
        <v>0.7948253274725744</v>
      </c>
      <c r="AD73" s="157" t="s">
        <v>82</v>
      </c>
      <c r="AE73" s="157" t="s">
        <v>82</v>
      </c>
      <c r="AF73" s="157" t="s">
        <v>82</v>
      </c>
      <c r="AG73" s="130" t="s">
        <v>82</v>
      </c>
      <c r="AH73" s="130" t="s">
        <v>82</v>
      </c>
      <c r="AI73" s="130" t="s">
        <v>82</v>
      </c>
      <c r="AJ73" s="130" t="s">
        <v>82</v>
      </c>
      <c r="AK73" s="130" t="s">
        <v>82</v>
      </c>
      <c r="AL73" s="130" t="s">
        <v>82</v>
      </c>
      <c r="AM73" s="130" t="s">
        <v>82</v>
      </c>
      <c r="AN73" s="130" t="s">
        <v>82</v>
      </c>
      <c r="AO73" s="130" t="s">
        <v>82</v>
      </c>
      <c r="AP73" s="130" t="s">
        <v>82</v>
      </c>
      <c r="AQ73" s="130" t="s">
        <v>82</v>
      </c>
      <c r="AR73" s="130" t="s">
        <v>82</v>
      </c>
      <c r="AS73" s="130" t="s">
        <v>82</v>
      </c>
      <c r="AT73" s="130" t="s">
        <v>82</v>
      </c>
      <c r="AU73" s="130" t="s">
        <v>82</v>
      </c>
      <c r="AV73" s="130" t="s">
        <v>82</v>
      </c>
      <c r="AW73" s="130" t="s">
        <v>82</v>
      </c>
      <c r="AX73" s="130" t="s">
        <v>82</v>
      </c>
      <c r="AY73" s="130" t="s">
        <v>82</v>
      </c>
      <c r="AZ73" s="130" t="s">
        <v>82</v>
      </c>
      <c r="BA73" s="205" t="s">
        <v>82</v>
      </c>
      <c r="BB73" s="205" t="s">
        <v>82</v>
      </c>
      <c r="BC73" s="205" t="s">
        <v>82</v>
      </c>
      <c r="BD73" s="205" t="s">
        <v>82</v>
      </c>
    </row>
    <row r="74" spans="1:56" s="19" customFormat="1" ht="12.75">
      <c r="A74" s="52" t="s">
        <v>299</v>
      </c>
      <c r="C74" s="86"/>
      <c r="D74" s="87"/>
      <c r="E74" s="87"/>
      <c r="F74" s="87"/>
      <c r="G74" s="87"/>
      <c r="H74" s="87"/>
      <c r="I74" s="87"/>
      <c r="J74" s="87"/>
      <c r="K74" s="87"/>
      <c r="L74" s="87"/>
      <c r="M74" s="87"/>
      <c r="N74" s="87"/>
      <c r="O74" s="87"/>
      <c r="P74" s="87"/>
      <c r="Q74" s="87"/>
      <c r="R74" s="87"/>
      <c r="S74" s="87"/>
      <c r="T74" s="87"/>
      <c r="U74" s="130"/>
      <c r="V74" s="130"/>
      <c r="W74" s="130"/>
      <c r="X74" s="130"/>
      <c r="Y74" s="130"/>
      <c r="Z74" s="157"/>
      <c r="AA74" s="157"/>
      <c r="AB74" s="157"/>
      <c r="AC74" s="157"/>
      <c r="AD74" s="157"/>
      <c r="AE74" s="157"/>
      <c r="AF74" s="157"/>
      <c r="AG74" s="130"/>
      <c r="AH74" s="130"/>
      <c r="AI74" s="130"/>
      <c r="AJ74" s="130"/>
      <c r="AK74" s="130"/>
      <c r="AL74" s="130"/>
      <c r="AM74" s="130"/>
      <c r="AN74" s="130"/>
      <c r="AO74" s="130"/>
      <c r="AP74" s="130"/>
      <c r="AQ74" s="130"/>
      <c r="AR74" s="130"/>
      <c r="AS74" s="130"/>
      <c r="AT74" s="130"/>
      <c r="AU74" s="130"/>
      <c r="AV74" s="130"/>
      <c r="AW74" s="130"/>
      <c r="AX74" s="229"/>
      <c r="AY74" s="130">
        <v>0.972</v>
      </c>
      <c r="AZ74" s="130">
        <v>0.981</v>
      </c>
      <c r="BA74" s="205">
        <v>0.981</v>
      </c>
      <c r="BB74" s="205">
        <v>0.981</v>
      </c>
      <c r="BC74" s="205">
        <v>0.98</v>
      </c>
      <c r="BD74" s="232">
        <v>0.974</v>
      </c>
    </row>
    <row r="75" spans="1:56" ht="15.75" thickBot="1">
      <c r="A75" s="92" t="s">
        <v>29</v>
      </c>
      <c r="B75" s="93"/>
      <c r="C75" s="94"/>
      <c r="D75" s="95">
        <v>1</v>
      </c>
      <c r="E75" s="95">
        <v>1</v>
      </c>
      <c r="F75" s="95">
        <v>1</v>
      </c>
      <c r="G75" s="95">
        <v>1</v>
      </c>
      <c r="H75" s="95">
        <v>1</v>
      </c>
      <c r="I75" s="95">
        <v>0.996</v>
      </c>
      <c r="J75" s="95">
        <v>0.987</v>
      </c>
      <c r="K75" s="95">
        <v>0.987</v>
      </c>
      <c r="L75" s="95">
        <v>0.953</v>
      </c>
      <c r="M75" s="95">
        <v>0.956</v>
      </c>
      <c r="N75" s="95">
        <v>0.946</v>
      </c>
      <c r="O75" s="95">
        <v>0.887</v>
      </c>
      <c r="P75" s="95">
        <v>0.869</v>
      </c>
      <c r="Q75" s="95">
        <v>0.925</v>
      </c>
      <c r="R75" s="95">
        <v>0.929</v>
      </c>
      <c r="S75" s="95">
        <v>0.924</v>
      </c>
      <c r="T75" s="95">
        <v>0.931</v>
      </c>
      <c r="U75" s="132">
        <v>0.9076520769953529</v>
      </c>
      <c r="V75" s="132">
        <v>0.9180471638950674</v>
      </c>
      <c r="W75" s="132">
        <v>0.977</v>
      </c>
      <c r="X75" s="132">
        <v>0.976</v>
      </c>
      <c r="Y75" s="132">
        <v>0.9797948639702854</v>
      </c>
      <c r="Z75" s="158">
        <v>0.9760264540178678</v>
      </c>
      <c r="AA75" s="158">
        <v>0.961</v>
      </c>
      <c r="AB75" s="158">
        <v>0.9672446966966598</v>
      </c>
      <c r="AC75" s="162">
        <v>0.9381490560380028</v>
      </c>
      <c r="AD75" s="162">
        <v>0.946</v>
      </c>
      <c r="AE75" s="162">
        <v>0.953</v>
      </c>
      <c r="AF75" s="162">
        <v>0.981</v>
      </c>
      <c r="AG75" s="132">
        <v>0.979</v>
      </c>
      <c r="AH75" s="132">
        <v>0.971</v>
      </c>
      <c r="AI75" s="132">
        <v>0.975</v>
      </c>
      <c r="AJ75" s="132">
        <v>0.98</v>
      </c>
      <c r="AK75" s="132">
        <v>0.97</v>
      </c>
      <c r="AL75" s="132">
        <v>0.97</v>
      </c>
      <c r="AM75" s="132">
        <v>0.965</v>
      </c>
      <c r="AN75" s="132">
        <v>0.965</v>
      </c>
      <c r="AO75" s="132">
        <v>0.954</v>
      </c>
      <c r="AP75" s="132">
        <v>0.929</v>
      </c>
      <c r="AQ75" s="132">
        <v>0.929</v>
      </c>
      <c r="AR75" s="132">
        <v>0.933</v>
      </c>
      <c r="AS75" s="132">
        <v>0.93</v>
      </c>
      <c r="AT75" s="132">
        <v>0.93</v>
      </c>
      <c r="AU75" s="132" t="s">
        <v>203</v>
      </c>
      <c r="AV75" s="132" t="s">
        <v>205</v>
      </c>
      <c r="AW75" s="132" t="s">
        <v>236</v>
      </c>
      <c r="AX75" s="132" t="s">
        <v>241</v>
      </c>
      <c r="AY75" s="132" t="s">
        <v>262</v>
      </c>
      <c r="AZ75" s="132" t="s">
        <v>272</v>
      </c>
      <c r="BA75" s="234">
        <v>0.834</v>
      </c>
      <c r="BB75" s="234">
        <v>0.834</v>
      </c>
      <c r="BC75" s="234">
        <v>0.815</v>
      </c>
      <c r="BD75" s="234">
        <v>0.941</v>
      </c>
    </row>
    <row r="76" spans="1:55" ht="13.5" thickTop="1">
      <c r="A76" s="19"/>
      <c r="B76" s="19"/>
      <c r="D76" s="6"/>
      <c r="E76" s="6"/>
      <c r="F76" s="6"/>
      <c r="G76" s="6"/>
      <c r="H76" s="6"/>
      <c r="I76" s="6"/>
      <c r="J76" s="63"/>
      <c r="R76" s="19"/>
      <c r="S76" s="19"/>
      <c r="AC76" s="19"/>
      <c r="AD76" s="19"/>
      <c r="AF76" s="19"/>
      <c r="BC76" s="19"/>
    </row>
    <row r="77" spans="1:30" ht="12.75">
      <c r="A77" s="26" t="s">
        <v>14</v>
      </c>
      <c r="B77" s="26"/>
      <c r="AC77" s="19"/>
      <c r="AD77" s="19"/>
    </row>
    <row r="78" spans="1:2" ht="12.75">
      <c r="A78" s="37">
        <v>1</v>
      </c>
      <c r="B78" s="36" t="s">
        <v>40</v>
      </c>
    </row>
    <row r="79" spans="1:2" ht="12.75">
      <c r="A79" s="37">
        <v>2</v>
      </c>
      <c r="B79" s="36" t="s">
        <v>19</v>
      </c>
    </row>
    <row r="80" spans="1:2" ht="12.75">
      <c r="A80" s="37">
        <v>3</v>
      </c>
      <c r="B80" s="36" t="s">
        <v>209</v>
      </c>
    </row>
    <row r="81" spans="1:23" ht="21.75" customHeight="1">
      <c r="A81" s="37">
        <v>4</v>
      </c>
      <c r="B81" s="254" t="s">
        <v>150</v>
      </c>
      <c r="C81" s="254"/>
      <c r="D81" s="254"/>
      <c r="E81" s="254"/>
      <c r="F81" s="254"/>
      <c r="G81" s="254"/>
      <c r="H81" s="254"/>
      <c r="I81" s="254"/>
      <c r="J81" s="254"/>
      <c r="K81" s="254"/>
      <c r="L81" s="254"/>
      <c r="M81" s="254"/>
      <c r="N81" s="254"/>
      <c r="O81" s="254"/>
      <c r="P81" s="254"/>
      <c r="Q81" s="254"/>
      <c r="R81" s="254"/>
      <c r="S81" s="254"/>
      <c r="T81" s="254"/>
      <c r="U81" s="254"/>
      <c r="V81" s="254"/>
      <c r="W81" s="254"/>
    </row>
    <row r="82" spans="1:11" ht="12.75">
      <c r="A82" s="37">
        <v>5</v>
      </c>
      <c r="B82" s="36" t="s">
        <v>157</v>
      </c>
      <c r="C82" s="139"/>
      <c r="D82" s="139"/>
      <c r="E82" s="139"/>
      <c r="F82" s="139"/>
      <c r="G82" s="139"/>
      <c r="H82" s="139"/>
      <c r="I82" s="139"/>
      <c r="J82" s="139"/>
      <c r="K82" s="139"/>
    </row>
    <row r="83" spans="1:11" ht="12.75">
      <c r="A83" s="37">
        <v>6</v>
      </c>
      <c r="B83" s="36" t="s">
        <v>168</v>
      </c>
      <c r="C83" s="139"/>
      <c r="D83" s="139"/>
      <c r="E83" s="139"/>
      <c r="F83" s="139"/>
      <c r="G83" s="139"/>
      <c r="H83" s="139"/>
      <c r="I83" s="139"/>
      <c r="J83" s="139"/>
      <c r="K83" s="139"/>
    </row>
    <row r="84" spans="1:10" ht="12.75">
      <c r="A84" s="37">
        <v>7</v>
      </c>
      <c r="B84" s="36" t="s">
        <v>169</v>
      </c>
      <c r="C84" s="7"/>
      <c r="H84" s="6"/>
      <c r="I84" s="19"/>
      <c r="J84" s="6"/>
    </row>
    <row r="85" spans="1:10" ht="12.75">
      <c r="A85" s="37">
        <v>8</v>
      </c>
      <c r="B85" s="36" t="s">
        <v>182</v>
      </c>
      <c r="C85" s="7"/>
      <c r="H85" s="6"/>
      <c r="I85" s="19"/>
      <c r="J85" s="6"/>
    </row>
    <row r="86" spans="1:13" ht="12.75">
      <c r="A86" s="37">
        <v>9</v>
      </c>
      <c r="B86" s="255" t="s">
        <v>230</v>
      </c>
      <c r="C86" s="255"/>
      <c r="D86" s="255"/>
      <c r="E86" s="255"/>
      <c r="F86" s="255"/>
      <c r="G86" s="255"/>
      <c r="H86" s="255"/>
      <c r="I86" s="255"/>
      <c r="J86" s="255"/>
      <c r="K86" s="255"/>
      <c r="L86" s="255"/>
      <c r="M86" s="255"/>
    </row>
    <row r="87" spans="1:13" ht="12.75">
      <c r="A87" s="37">
        <v>10</v>
      </c>
      <c r="B87" s="254" t="s">
        <v>233</v>
      </c>
      <c r="C87" s="254"/>
      <c r="D87" s="254"/>
      <c r="E87" s="254"/>
      <c r="F87" s="254"/>
      <c r="G87" s="254"/>
      <c r="H87" s="254"/>
      <c r="I87" s="254"/>
      <c r="J87" s="254"/>
      <c r="K87" s="254"/>
      <c r="L87" s="254"/>
      <c r="M87" s="254"/>
    </row>
    <row r="88" spans="1:23" ht="31.5" customHeight="1">
      <c r="A88" s="37">
        <v>11</v>
      </c>
      <c r="B88" s="255" t="s">
        <v>231</v>
      </c>
      <c r="C88" s="255"/>
      <c r="D88" s="255"/>
      <c r="E88" s="255"/>
      <c r="F88" s="255"/>
      <c r="G88" s="255"/>
      <c r="H88" s="255"/>
      <c r="I88" s="255"/>
      <c r="J88" s="255"/>
      <c r="K88" s="255"/>
      <c r="L88" s="255"/>
      <c r="M88" s="255"/>
      <c r="N88" s="255"/>
      <c r="O88" s="255"/>
      <c r="P88" s="255"/>
      <c r="Q88" s="255"/>
      <c r="R88" s="255"/>
      <c r="S88" s="255"/>
      <c r="T88" s="255"/>
      <c r="U88" s="255"/>
      <c r="V88" s="255"/>
      <c r="W88" s="255"/>
    </row>
    <row r="89" spans="1:23" ht="12.75" customHeight="1">
      <c r="A89" s="37">
        <v>12</v>
      </c>
      <c r="B89" s="256" t="s">
        <v>232</v>
      </c>
      <c r="C89" s="256"/>
      <c r="D89" s="256"/>
      <c r="E89" s="256"/>
      <c r="F89" s="256"/>
      <c r="G89" s="256"/>
      <c r="H89" s="256"/>
      <c r="I89" s="256"/>
      <c r="J89" s="256"/>
      <c r="K89" s="256"/>
      <c r="L89" s="256"/>
      <c r="M89" s="256"/>
      <c r="N89" s="256"/>
      <c r="O89" s="256"/>
      <c r="P89" s="256"/>
      <c r="Q89" s="256"/>
      <c r="R89" s="256"/>
      <c r="S89" s="256"/>
      <c r="T89" s="256"/>
      <c r="U89" s="256"/>
      <c r="V89" s="256"/>
      <c r="W89" s="256"/>
    </row>
    <row r="90" spans="1:23" ht="12.75">
      <c r="A90" s="37">
        <v>13</v>
      </c>
      <c r="B90" s="256" t="s">
        <v>258</v>
      </c>
      <c r="C90" s="256"/>
      <c r="D90" s="256"/>
      <c r="E90" s="256"/>
      <c r="F90" s="256"/>
      <c r="G90" s="256"/>
      <c r="H90" s="256"/>
      <c r="I90" s="256"/>
      <c r="J90" s="256"/>
      <c r="K90" s="256"/>
      <c r="L90" s="256"/>
      <c r="M90" s="256"/>
      <c r="N90" s="256"/>
      <c r="O90" s="256"/>
      <c r="P90" s="256"/>
      <c r="Q90" s="256"/>
      <c r="R90" s="256"/>
      <c r="S90" s="256"/>
      <c r="T90" s="256"/>
      <c r="U90" s="256"/>
      <c r="V90" s="256"/>
      <c r="W90" s="256"/>
    </row>
    <row r="91" spans="1:23" ht="12.75">
      <c r="A91" s="37">
        <v>14</v>
      </c>
      <c r="B91" s="256" t="s">
        <v>259</v>
      </c>
      <c r="C91" s="256"/>
      <c r="D91" s="256"/>
      <c r="E91" s="256"/>
      <c r="F91" s="256"/>
      <c r="G91" s="256"/>
      <c r="H91" s="256"/>
      <c r="I91" s="256"/>
      <c r="J91" s="256"/>
      <c r="K91" s="256"/>
      <c r="L91" s="256"/>
      <c r="M91" s="256"/>
      <c r="N91" s="256"/>
      <c r="O91" s="256"/>
      <c r="P91" s="256"/>
      <c r="Q91" s="256"/>
      <c r="R91" s="256"/>
      <c r="S91" s="256"/>
      <c r="T91" s="256"/>
      <c r="U91" s="256"/>
      <c r="V91" s="256"/>
      <c r="W91" s="256"/>
    </row>
    <row r="92" spans="1:23" ht="27" customHeight="1">
      <c r="A92" s="37">
        <v>15</v>
      </c>
      <c r="B92" s="256" t="s">
        <v>270</v>
      </c>
      <c r="C92" s="256"/>
      <c r="D92" s="256"/>
      <c r="E92" s="256"/>
      <c r="F92" s="256"/>
      <c r="G92" s="256"/>
      <c r="H92" s="256"/>
      <c r="I92" s="256"/>
      <c r="J92" s="256"/>
      <c r="K92" s="256"/>
      <c r="L92" s="256"/>
      <c r="M92" s="256"/>
      <c r="N92" s="256"/>
      <c r="O92" s="256"/>
      <c r="P92" s="256"/>
      <c r="Q92" s="256"/>
      <c r="R92" s="256"/>
      <c r="S92" s="256"/>
      <c r="T92" s="256"/>
      <c r="U92" s="256"/>
      <c r="V92" s="256"/>
      <c r="W92" s="256"/>
    </row>
    <row r="93" spans="1:23" ht="21.75" customHeight="1">
      <c r="A93" s="37">
        <v>16</v>
      </c>
      <c r="B93" s="256" t="s">
        <v>243</v>
      </c>
      <c r="C93" s="256"/>
      <c r="D93" s="256"/>
      <c r="E93" s="256"/>
      <c r="F93" s="256"/>
      <c r="G93" s="256"/>
      <c r="H93" s="256"/>
      <c r="I93" s="256"/>
      <c r="J93" s="256"/>
      <c r="K93" s="256"/>
      <c r="L93" s="256"/>
      <c r="M93" s="256"/>
      <c r="N93" s="256"/>
      <c r="O93" s="256"/>
      <c r="P93" s="256"/>
      <c r="Q93" s="256"/>
      <c r="R93" s="256"/>
      <c r="S93" s="256"/>
      <c r="T93" s="256"/>
      <c r="U93" s="256"/>
      <c r="V93" s="256"/>
      <c r="W93" s="256"/>
    </row>
    <row r="94" spans="1:23" ht="27" customHeight="1">
      <c r="A94" s="37">
        <v>17</v>
      </c>
      <c r="B94" s="256" t="s">
        <v>244</v>
      </c>
      <c r="C94" s="256"/>
      <c r="D94" s="256"/>
      <c r="E94" s="256"/>
      <c r="F94" s="256"/>
      <c r="G94" s="256"/>
      <c r="H94" s="256"/>
      <c r="I94" s="256"/>
      <c r="J94" s="256"/>
      <c r="K94" s="256"/>
      <c r="L94" s="256"/>
      <c r="M94" s="256"/>
      <c r="N94" s="256"/>
      <c r="O94" s="256"/>
      <c r="P94" s="256"/>
      <c r="Q94" s="256"/>
      <c r="R94" s="256"/>
      <c r="S94" s="256"/>
      <c r="T94" s="256"/>
      <c r="U94" s="256"/>
      <c r="V94" s="256"/>
      <c r="W94" s="256"/>
    </row>
    <row r="95" spans="1:23" ht="21.75" customHeight="1">
      <c r="A95" s="37"/>
      <c r="B95" s="256"/>
      <c r="C95" s="256"/>
      <c r="D95" s="256"/>
      <c r="E95" s="256"/>
      <c r="F95" s="256"/>
      <c r="G95" s="256"/>
      <c r="H95" s="256"/>
      <c r="I95" s="256"/>
      <c r="J95" s="256"/>
      <c r="K95" s="256"/>
      <c r="L95" s="256"/>
      <c r="M95" s="256"/>
      <c r="N95" s="256"/>
      <c r="O95" s="256"/>
      <c r="P95" s="256"/>
      <c r="Q95" s="256"/>
      <c r="R95" s="256"/>
      <c r="S95" s="256"/>
      <c r="T95" s="256"/>
      <c r="U95" s="256"/>
      <c r="V95" s="256"/>
      <c r="W95" s="256"/>
    </row>
    <row r="96" spans="1:2" ht="12.75">
      <c r="A96" s="38"/>
      <c r="B96" s="249"/>
    </row>
  </sheetData>
  <sheetProtection/>
  <mergeCells count="11">
    <mergeCell ref="B87:M87"/>
    <mergeCell ref="B81:W81"/>
    <mergeCell ref="B88:W88"/>
    <mergeCell ref="B89:W89"/>
    <mergeCell ref="B90:W90"/>
    <mergeCell ref="B95:W95"/>
    <mergeCell ref="B91:W91"/>
    <mergeCell ref="B92:W92"/>
    <mergeCell ref="B93:W93"/>
    <mergeCell ref="B94:W94"/>
    <mergeCell ref="B86:M86"/>
  </mergeCells>
  <printOptions/>
  <pageMargins left="0.25" right="0.25" top="0.25" bottom="0.25" header="0.34" footer="0.24"/>
  <pageSetup fitToHeight="1" fitToWidth="1" horizontalDpi="600" verticalDpi="600" orientation="portrait" paperSize="9" scale="19" r:id="rId1"/>
  <rowBreaks count="1" manualBreakCount="1">
    <brk id="57" max="255" man="1"/>
  </rowBreaks>
</worksheet>
</file>

<file path=xl/worksheets/sheet5.xml><?xml version="1.0" encoding="utf-8"?>
<worksheet xmlns="http://schemas.openxmlformats.org/spreadsheetml/2006/main" xmlns:r="http://schemas.openxmlformats.org/officeDocument/2006/relationships">
  <sheetPr>
    <tabColor theme="0" tint="-0.3499799966812134"/>
    <pageSetUpPr fitToPage="1"/>
  </sheetPr>
  <dimension ref="A1:BD77"/>
  <sheetViews>
    <sheetView view="pageBreakPreview" zoomScale="90" zoomScaleNormal="90" zoomScaleSheetLayoutView="90" zoomScalePageLayoutView="0" workbookViewId="0" topLeftCell="A1">
      <pane xSplit="3" ySplit="6" topLeftCell="AW55" activePane="bottomRight" state="frozen"/>
      <selection pane="topLeft" activeCell="A3" sqref="A3"/>
      <selection pane="topRight" activeCell="A3" sqref="A3"/>
      <selection pane="bottomLeft" activeCell="A3" sqref="A3"/>
      <selection pane="bottomRight" activeCell="AW72" sqref="AW72"/>
    </sheetView>
  </sheetViews>
  <sheetFormatPr defaultColWidth="7.7109375" defaultRowHeight="12.75" outlineLevelCol="1"/>
  <cols>
    <col min="1" max="1" width="2.28125" style="34" customWidth="1"/>
    <col min="2" max="2" width="5.7109375" style="26" customWidth="1"/>
    <col min="3" max="3" width="54.8515625" style="26" customWidth="1"/>
    <col min="4" max="7" width="11.7109375" style="41" hidden="1" customWidth="1" outlineLevel="1"/>
    <col min="8" max="8" width="11.7109375" style="41" hidden="1" customWidth="1" outlineLevel="1" collapsed="1"/>
    <col min="9" max="10" width="11.7109375" style="41" hidden="1" customWidth="1" outlineLevel="1"/>
    <col min="11" max="11" width="11.7109375" style="41" hidden="1" customWidth="1" collapsed="1"/>
    <col min="12" max="22" width="11.7109375" style="41" hidden="1" customWidth="1"/>
    <col min="23" max="24" width="11.7109375" style="76" hidden="1" customWidth="1"/>
    <col min="25" max="41" width="11.8515625" style="76" hidden="1" customWidth="1"/>
    <col min="42" max="43" width="11.8515625" style="76" customWidth="1"/>
    <col min="44" max="44" width="10.57421875" style="76" customWidth="1"/>
    <col min="45" max="45" width="12.00390625" style="76" customWidth="1"/>
    <col min="46" max="46" width="12.8515625" style="76" customWidth="1"/>
    <col min="47" max="47" width="11.28125" style="76" customWidth="1"/>
    <col min="48" max="48" width="10.140625" style="76" bestFit="1" customWidth="1"/>
    <col min="49" max="49" width="11.140625" style="76" bestFit="1" customWidth="1"/>
    <col min="50" max="50" width="11.140625" style="76" customWidth="1"/>
    <col min="51" max="52" width="10.140625" style="76" bestFit="1" customWidth="1"/>
    <col min="53" max="56" width="10.140625" style="76" customWidth="1"/>
    <col min="57" max="16384" width="7.7109375" style="76" customWidth="1"/>
  </cols>
  <sheetData>
    <row r="1" spans="1:22" ht="15">
      <c r="A1" s="28" t="s">
        <v>26</v>
      </c>
      <c r="B1" s="29"/>
      <c r="C1" s="29"/>
      <c r="D1" s="30"/>
      <c r="E1" s="30"/>
      <c r="F1" s="30"/>
      <c r="G1" s="30"/>
      <c r="H1" s="30"/>
      <c r="I1" s="30"/>
      <c r="J1" s="30"/>
      <c r="K1" s="30"/>
      <c r="L1" s="30"/>
      <c r="M1" s="30"/>
      <c r="N1" s="30"/>
      <c r="O1" s="30"/>
      <c r="P1" s="30"/>
      <c r="Q1" s="30"/>
      <c r="R1" s="30"/>
      <c r="S1" s="30"/>
      <c r="T1" s="30"/>
      <c r="U1" s="30"/>
      <c r="V1" s="30"/>
    </row>
    <row r="2" spans="1:3" ht="12.75">
      <c r="A2" s="1" t="str">
        <f>Portfolio!$A$2</f>
        <v>PORTFOLIO INFORMATION AS AT 30 JUNE 2019</v>
      </c>
      <c r="B2" s="29"/>
      <c r="C2" s="29"/>
    </row>
    <row r="3" spans="1:22" ht="12.75">
      <c r="A3" s="257" t="s">
        <v>9</v>
      </c>
      <c r="B3" s="257"/>
      <c r="C3" s="31"/>
      <c r="I3" s="42"/>
      <c r="J3" s="42"/>
      <c r="K3" s="42"/>
      <c r="L3" s="42"/>
      <c r="M3" s="42"/>
      <c r="N3" s="42"/>
      <c r="O3" s="42"/>
      <c r="P3" s="42"/>
      <c r="Q3" s="42"/>
      <c r="R3" s="42"/>
      <c r="S3" s="42"/>
      <c r="T3" s="42"/>
      <c r="U3" s="42"/>
      <c r="V3" s="42"/>
    </row>
    <row r="4" spans="1:8" s="79" customFormat="1" ht="13.5">
      <c r="A4" s="77"/>
      <c r="B4" s="77"/>
      <c r="C4" s="77"/>
      <c r="D4" s="134"/>
      <c r="E4" s="78"/>
      <c r="F4" s="78"/>
      <c r="G4" s="78"/>
      <c r="H4" s="78"/>
    </row>
    <row r="5" spans="1:56" ht="15.75">
      <c r="A5" s="257"/>
      <c r="B5" s="257"/>
      <c r="C5" s="31"/>
      <c r="D5" s="32" t="s">
        <v>15</v>
      </c>
      <c r="E5" s="32" t="s">
        <v>12</v>
      </c>
      <c r="F5" s="32" t="s">
        <v>12</v>
      </c>
      <c r="G5" s="32" t="s">
        <v>12</v>
      </c>
      <c r="H5" s="32" t="s">
        <v>12</v>
      </c>
      <c r="I5" s="32" t="s">
        <v>12</v>
      </c>
      <c r="J5" s="32" t="s">
        <v>12</v>
      </c>
      <c r="K5" s="32" t="s">
        <v>12</v>
      </c>
      <c r="L5" s="32" t="s">
        <v>12</v>
      </c>
      <c r="M5" s="32" t="s">
        <v>12</v>
      </c>
      <c r="N5" s="32" t="s">
        <v>12</v>
      </c>
      <c r="O5" s="32" t="s">
        <v>12</v>
      </c>
      <c r="P5" s="32" t="s">
        <v>12</v>
      </c>
      <c r="Q5" s="32" t="s">
        <v>12</v>
      </c>
      <c r="R5" s="32" t="s">
        <v>12</v>
      </c>
      <c r="S5" s="32" t="s">
        <v>12</v>
      </c>
      <c r="T5" s="32" t="s">
        <v>12</v>
      </c>
      <c r="U5" s="32" t="s">
        <v>12</v>
      </c>
      <c r="V5" s="135" t="s">
        <v>12</v>
      </c>
      <c r="W5" s="135" t="s">
        <v>12</v>
      </c>
      <c r="X5" s="135" t="s">
        <v>12</v>
      </c>
      <c r="Y5" s="135" t="s">
        <v>12</v>
      </c>
      <c r="Z5" s="135" t="s">
        <v>12</v>
      </c>
      <c r="AA5" s="135" t="s">
        <v>12</v>
      </c>
      <c r="AB5" s="135" t="s">
        <v>12</v>
      </c>
      <c r="AC5" s="135" t="s">
        <v>12</v>
      </c>
      <c r="AD5" s="135" t="s">
        <v>12</v>
      </c>
      <c r="AE5" s="135" t="s">
        <v>12</v>
      </c>
      <c r="AF5" s="135" t="s">
        <v>12</v>
      </c>
      <c r="AG5" s="135" t="s">
        <v>12</v>
      </c>
      <c r="AH5" s="135" t="s">
        <v>12</v>
      </c>
      <c r="AI5" s="135" t="s">
        <v>12</v>
      </c>
      <c r="AJ5" s="135" t="s">
        <v>12</v>
      </c>
      <c r="AK5" s="135" t="s">
        <v>12</v>
      </c>
      <c r="AL5" s="135" t="s">
        <v>12</v>
      </c>
      <c r="AM5" s="135" t="s">
        <v>12</v>
      </c>
      <c r="AN5" s="135" t="s">
        <v>12</v>
      </c>
      <c r="AO5" s="135" t="s">
        <v>12</v>
      </c>
      <c r="AP5" s="135" t="s">
        <v>12</v>
      </c>
      <c r="AQ5" s="135" t="s">
        <v>12</v>
      </c>
      <c r="AR5" s="135" t="s">
        <v>12</v>
      </c>
      <c r="AS5" s="135" t="s">
        <v>12</v>
      </c>
      <c r="AT5" s="135" t="s">
        <v>12</v>
      </c>
      <c r="AU5" s="135" t="s">
        <v>12</v>
      </c>
      <c r="AV5" s="135" t="s">
        <v>12</v>
      </c>
      <c r="AW5" s="135" t="s">
        <v>12</v>
      </c>
      <c r="AX5" s="135" t="s">
        <v>12</v>
      </c>
      <c r="AY5" s="135" t="s">
        <v>12</v>
      </c>
      <c r="AZ5" s="135" t="s">
        <v>12</v>
      </c>
      <c r="BA5" s="135" t="s">
        <v>12</v>
      </c>
      <c r="BB5" s="135" t="s">
        <v>12</v>
      </c>
      <c r="BC5" s="135" t="s">
        <v>12</v>
      </c>
      <c r="BD5" s="135" t="s">
        <v>12</v>
      </c>
    </row>
    <row r="6" spans="1:56" ht="12.75">
      <c r="A6" s="257"/>
      <c r="B6" s="257"/>
      <c r="C6" s="31"/>
      <c r="D6" s="33" t="s">
        <v>36</v>
      </c>
      <c r="E6" s="33" t="s">
        <v>37</v>
      </c>
      <c r="F6" s="33" t="s">
        <v>68</v>
      </c>
      <c r="G6" s="33" t="s">
        <v>69</v>
      </c>
      <c r="H6" s="33" t="s">
        <v>70</v>
      </c>
      <c r="I6" s="33" t="s">
        <v>71</v>
      </c>
      <c r="J6" s="33" t="s">
        <v>72</v>
      </c>
      <c r="K6" s="33" t="s">
        <v>73</v>
      </c>
      <c r="L6" s="33" t="s">
        <v>4</v>
      </c>
      <c r="M6" s="33" t="s">
        <v>21</v>
      </c>
      <c r="N6" s="33" t="s">
        <v>20</v>
      </c>
      <c r="O6" s="33" t="s">
        <v>23</v>
      </c>
      <c r="P6" s="33" t="s">
        <v>24</v>
      </c>
      <c r="Q6" s="33" t="s">
        <v>25</v>
      </c>
      <c r="R6" s="33" t="s">
        <v>125</v>
      </c>
      <c r="S6" s="33" t="s">
        <v>126</v>
      </c>
      <c r="T6" s="33" t="s">
        <v>127</v>
      </c>
      <c r="U6" s="33" t="s">
        <v>128</v>
      </c>
      <c r="V6" s="33" t="s">
        <v>129</v>
      </c>
      <c r="W6" s="33" t="s">
        <v>131</v>
      </c>
      <c r="X6" s="33" t="s">
        <v>139</v>
      </c>
      <c r="Y6" s="33" t="s">
        <v>142</v>
      </c>
      <c r="Z6" s="33" t="s">
        <v>144</v>
      </c>
      <c r="AA6" s="33" t="s">
        <v>145</v>
      </c>
      <c r="AB6" s="33" t="s">
        <v>146</v>
      </c>
      <c r="AC6" s="33" t="s">
        <v>147</v>
      </c>
      <c r="AD6" s="33" t="s">
        <v>154</v>
      </c>
      <c r="AE6" s="33" t="s">
        <v>158</v>
      </c>
      <c r="AF6" s="33" t="s">
        <v>160</v>
      </c>
      <c r="AG6" s="33" t="s">
        <v>162</v>
      </c>
      <c r="AH6" s="33" t="s">
        <v>163</v>
      </c>
      <c r="AI6" s="33" t="s">
        <v>164</v>
      </c>
      <c r="AJ6" s="33" t="s">
        <v>165</v>
      </c>
      <c r="AK6" s="33" t="s">
        <v>172</v>
      </c>
      <c r="AL6" s="33" t="s">
        <v>173</v>
      </c>
      <c r="AM6" s="33" t="s">
        <v>174</v>
      </c>
      <c r="AN6" s="33" t="s">
        <v>175</v>
      </c>
      <c r="AO6" s="33" t="s">
        <v>183</v>
      </c>
      <c r="AP6" s="33" t="s">
        <v>184</v>
      </c>
      <c r="AQ6" s="33" t="s">
        <v>185</v>
      </c>
      <c r="AR6" s="33" t="s">
        <v>186</v>
      </c>
      <c r="AS6" s="33" t="s">
        <v>190</v>
      </c>
      <c r="AT6" s="33" t="s">
        <v>193</v>
      </c>
      <c r="AU6" s="33" t="s">
        <v>201</v>
      </c>
      <c r="AV6" s="33" t="s">
        <v>220</v>
      </c>
      <c r="AW6" s="33" t="s">
        <v>237</v>
      </c>
      <c r="AX6" s="33" t="s">
        <v>245</v>
      </c>
      <c r="AY6" s="33" t="s">
        <v>254</v>
      </c>
      <c r="AZ6" s="33" t="s">
        <v>266</v>
      </c>
      <c r="BA6" s="33" t="s">
        <v>278</v>
      </c>
      <c r="BB6" s="33" t="s">
        <v>305</v>
      </c>
      <c r="BC6" s="33" t="s">
        <v>313</v>
      </c>
      <c r="BD6" s="33" t="s">
        <v>324</v>
      </c>
    </row>
    <row r="7" spans="1:22" ht="12.75">
      <c r="A7" s="34" t="s">
        <v>61</v>
      </c>
      <c r="D7" s="43"/>
      <c r="E7" s="43"/>
      <c r="F7" s="43"/>
      <c r="G7" s="43"/>
      <c r="H7" s="43"/>
      <c r="I7" s="43"/>
      <c r="J7" s="43"/>
      <c r="K7" s="43"/>
      <c r="L7" s="43"/>
      <c r="M7" s="43"/>
      <c r="N7" s="43"/>
      <c r="O7" s="43"/>
      <c r="P7" s="43"/>
      <c r="Q7" s="43"/>
      <c r="R7" s="43"/>
      <c r="S7" s="43"/>
      <c r="T7" s="43"/>
      <c r="U7" s="43"/>
      <c r="V7" s="43"/>
    </row>
    <row r="8" spans="1:56" ht="12.75">
      <c r="A8" s="25"/>
      <c r="B8" s="27" t="s">
        <v>196</v>
      </c>
      <c r="C8" s="27"/>
      <c r="D8" s="44">
        <v>8795</v>
      </c>
      <c r="E8" s="44">
        <v>9100</v>
      </c>
      <c r="F8" s="44">
        <v>9580</v>
      </c>
      <c r="G8" s="44">
        <v>10045</v>
      </c>
      <c r="H8" s="44">
        <v>10917</v>
      </c>
      <c r="I8" s="44">
        <v>13583</v>
      </c>
      <c r="J8" s="44">
        <v>18560</v>
      </c>
      <c r="K8" s="44">
        <v>23896</v>
      </c>
      <c r="L8" s="44">
        <v>23166</v>
      </c>
      <c r="M8" s="44">
        <v>23428</v>
      </c>
      <c r="N8" s="44">
        <v>22893</v>
      </c>
      <c r="O8" s="44">
        <v>22503</v>
      </c>
      <c r="P8" s="44">
        <v>21959</v>
      </c>
      <c r="Q8" s="44">
        <v>25038</v>
      </c>
      <c r="R8" s="44">
        <v>29128</v>
      </c>
      <c r="S8" s="44">
        <v>29129</v>
      </c>
      <c r="T8" s="44">
        <v>28767</v>
      </c>
      <c r="U8" s="44">
        <v>28938</v>
      </c>
      <c r="V8" s="44">
        <v>29139</v>
      </c>
      <c r="W8" s="44">
        <v>28832</v>
      </c>
      <c r="X8" s="44">
        <v>29633</v>
      </c>
      <c r="Y8" s="44">
        <v>29481</v>
      </c>
      <c r="Z8" s="44">
        <v>30190</v>
      </c>
      <c r="AA8" s="44">
        <v>30567</v>
      </c>
      <c r="AB8" s="44">
        <v>34762</v>
      </c>
      <c r="AC8" s="44">
        <v>34300</v>
      </c>
      <c r="AD8" s="44">
        <v>28034</v>
      </c>
      <c r="AE8" s="44">
        <f>29708-AE11</f>
        <v>27816</v>
      </c>
      <c r="AF8" s="44">
        <f>29985-AF11</f>
        <v>29021</v>
      </c>
      <c r="AG8" s="44">
        <f>28812-AG11</f>
        <v>28302</v>
      </c>
      <c r="AH8" s="44">
        <f>28769-AH11</f>
        <v>28317</v>
      </c>
      <c r="AI8" s="44">
        <f>28600-AI11</f>
        <v>27940</v>
      </c>
      <c r="AJ8" s="44">
        <f>29641-AJ11</f>
        <v>28757</v>
      </c>
      <c r="AK8" s="44">
        <f>31828-AK11</f>
        <v>31247</v>
      </c>
      <c r="AL8" s="44">
        <f>35459-AL11</f>
        <v>35340</v>
      </c>
      <c r="AM8" s="44">
        <f>34814-AM11</f>
        <v>34399</v>
      </c>
      <c r="AN8" s="44">
        <f>34694-AN11</f>
        <v>34503</v>
      </c>
      <c r="AO8" s="182">
        <f>37220-AO11</f>
        <v>36943</v>
      </c>
      <c r="AP8" s="182">
        <f>39623-AP11</f>
        <v>39348</v>
      </c>
      <c r="AQ8" s="182">
        <f>38994-AQ11</f>
        <v>38074</v>
      </c>
      <c r="AR8" s="182">
        <f>38550-AR11</f>
        <v>38099</v>
      </c>
      <c r="AS8" s="182">
        <v>39155</v>
      </c>
      <c r="AT8" s="198">
        <f>39679-AT11</f>
        <v>39547</v>
      </c>
      <c r="AU8" s="182">
        <f>40240-AU11</f>
        <v>39702</v>
      </c>
      <c r="AV8" s="182">
        <f>38326-AV11</f>
        <v>38121</v>
      </c>
      <c r="AW8" s="182">
        <f>38306-AW11</f>
        <v>38171</v>
      </c>
      <c r="AX8" s="182">
        <f>35321-AX11</f>
        <v>35561</v>
      </c>
      <c r="AY8" s="182">
        <f>33014-AY11</f>
        <v>33156</v>
      </c>
      <c r="AZ8" s="182">
        <f>32494-AZ11</f>
        <v>31902</v>
      </c>
      <c r="BA8" s="182">
        <f>32477-BA11</f>
        <v>32833</v>
      </c>
      <c r="BB8" s="182">
        <f>31546-BB11</f>
        <v>31299</v>
      </c>
      <c r="BC8" s="182">
        <f>30402-BC11</f>
        <v>29703</v>
      </c>
      <c r="BD8" s="182">
        <f>30215-BD11</f>
        <v>29738</v>
      </c>
    </row>
    <row r="9" spans="1:50" ht="12.75">
      <c r="A9" s="25"/>
      <c r="B9" s="27" t="s">
        <v>112</v>
      </c>
      <c r="C9" s="27"/>
      <c r="D9" s="46">
        <v>874</v>
      </c>
      <c r="E9" s="46">
        <v>657</v>
      </c>
      <c r="F9" s="46">
        <v>695</v>
      </c>
      <c r="G9" s="44">
        <v>838</v>
      </c>
      <c r="H9" s="44">
        <v>5146</v>
      </c>
      <c r="I9" s="44">
        <v>770</v>
      </c>
      <c r="J9" s="44">
        <v>564</v>
      </c>
      <c r="K9" s="44">
        <v>495</v>
      </c>
      <c r="L9" s="44">
        <v>573</v>
      </c>
      <c r="M9" s="44">
        <v>-573</v>
      </c>
      <c r="N9" s="44">
        <v>0</v>
      </c>
      <c r="O9" s="44">
        <v>0</v>
      </c>
      <c r="P9" s="44">
        <v>0</v>
      </c>
      <c r="Q9" s="44">
        <v>0</v>
      </c>
      <c r="R9" s="44">
        <v>0</v>
      </c>
      <c r="S9" s="44">
        <v>0</v>
      </c>
      <c r="T9" s="44">
        <v>0</v>
      </c>
      <c r="U9" s="44">
        <v>0</v>
      </c>
      <c r="V9" s="44">
        <v>0</v>
      </c>
      <c r="W9" s="44">
        <v>0</v>
      </c>
      <c r="X9" s="148">
        <v>0</v>
      </c>
      <c r="Y9" s="44">
        <v>0</v>
      </c>
      <c r="Z9" s="44">
        <v>0</v>
      </c>
      <c r="AA9" s="44">
        <v>0</v>
      </c>
      <c r="AB9" s="44">
        <v>0</v>
      </c>
      <c r="AC9" s="44">
        <v>0</v>
      </c>
      <c r="AD9" s="44">
        <v>0</v>
      </c>
      <c r="AE9" s="44">
        <v>0</v>
      </c>
      <c r="AF9" s="44">
        <v>0</v>
      </c>
      <c r="AG9" s="44">
        <v>0</v>
      </c>
      <c r="AH9" s="44">
        <v>0</v>
      </c>
      <c r="AI9" s="44">
        <v>0</v>
      </c>
      <c r="AJ9" s="44">
        <v>0</v>
      </c>
      <c r="AK9" s="44">
        <v>0</v>
      </c>
      <c r="AL9" s="44">
        <v>0</v>
      </c>
      <c r="AM9" s="44">
        <v>0</v>
      </c>
      <c r="AN9" s="44">
        <v>0</v>
      </c>
      <c r="AO9" s="182">
        <v>0</v>
      </c>
      <c r="AP9" s="182">
        <v>0</v>
      </c>
      <c r="AQ9" s="182">
        <v>0</v>
      </c>
      <c r="AR9" s="182">
        <v>0</v>
      </c>
      <c r="AS9" s="182">
        <v>0</v>
      </c>
      <c r="AT9" s="182">
        <v>0</v>
      </c>
      <c r="AU9" s="182">
        <v>0</v>
      </c>
      <c r="AV9" s="182">
        <v>0</v>
      </c>
      <c r="AW9" s="182">
        <v>0</v>
      </c>
      <c r="AX9" s="182">
        <v>0</v>
      </c>
    </row>
    <row r="10" spans="1:50" ht="12.75">
      <c r="A10" s="25"/>
      <c r="B10" s="27" t="s">
        <v>10</v>
      </c>
      <c r="C10" s="27"/>
      <c r="D10" s="44">
        <v>2074</v>
      </c>
      <c r="E10" s="44">
        <v>1363</v>
      </c>
      <c r="F10" s="44">
        <v>1255</v>
      </c>
      <c r="G10" s="44">
        <v>1088</v>
      </c>
      <c r="H10" s="44">
        <v>1103</v>
      </c>
      <c r="I10" s="44">
        <v>3412</v>
      </c>
      <c r="J10" s="44">
        <v>2701</v>
      </c>
      <c r="K10" s="44">
        <v>3036</v>
      </c>
      <c r="L10" s="44">
        <v>2847</v>
      </c>
      <c r="M10" s="44">
        <v>2253</v>
      </c>
      <c r="N10" s="44">
        <v>1366</v>
      </c>
      <c r="O10" s="44">
        <v>855</v>
      </c>
      <c r="P10" s="44">
        <v>40</v>
      </c>
      <c r="Q10" s="44">
        <v>-1</v>
      </c>
      <c r="R10" s="44">
        <v>0</v>
      </c>
      <c r="S10" s="44">
        <v>0</v>
      </c>
      <c r="T10" s="44">
        <v>0</v>
      </c>
      <c r="U10" s="44">
        <v>0</v>
      </c>
      <c r="V10" s="44">
        <v>0</v>
      </c>
      <c r="W10" s="44">
        <v>0</v>
      </c>
      <c r="X10" s="148">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c r="AO10" s="182">
        <v>0</v>
      </c>
      <c r="AP10" s="182">
        <v>0</v>
      </c>
      <c r="AQ10" s="182">
        <v>0</v>
      </c>
      <c r="AR10" s="182">
        <v>0</v>
      </c>
      <c r="AS10" s="182">
        <v>0</v>
      </c>
      <c r="AT10" s="182">
        <v>0</v>
      </c>
      <c r="AU10" s="182">
        <v>0</v>
      </c>
      <c r="AV10" s="182">
        <v>0</v>
      </c>
      <c r="AW10" s="182">
        <v>0</v>
      </c>
      <c r="AX10" s="182">
        <v>0</v>
      </c>
    </row>
    <row r="11" spans="1:56" ht="12.75">
      <c r="A11" s="25"/>
      <c r="B11" s="26" t="s">
        <v>311</v>
      </c>
      <c r="D11" s="44">
        <v>0</v>
      </c>
      <c r="E11" s="44">
        <v>230</v>
      </c>
      <c r="F11" s="44">
        <v>268</v>
      </c>
      <c r="G11" s="44">
        <v>280</v>
      </c>
      <c r="H11" s="44">
        <v>332</v>
      </c>
      <c r="I11" s="44">
        <v>1098</v>
      </c>
      <c r="J11" s="44">
        <v>4810</v>
      </c>
      <c r="K11" s="44">
        <v>1012</v>
      </c>
      <c r="L11" s="44">
        <v>1038</v>
      </c>
      <c r="M11" s="44">
        <v>895</v>
      </c>
      <c r="N11" s="44">
        <v>629</v>
      </c>
      <c r="O11" s="44">
        <v>604</v>
      </c>
      <c r="P11" s="44">
        <v>674</v>
      </c>
      <c r="Q11" s="44">
        <v>643</v>
      </c>
      <c r="R11" s="44">
        <v>521</v>
      </c>
      <c r="S11" s="44">
        <v>643</v>
      </c>
      <c r="T11" s="44">
        <v>455</v>
      </c>
      <c r="U11" s="44">
        <v>353</v>
      </c>
      <c r="V11" s="44">
        <v>-158</v>
      </c>
      <c r="W11" s="44">
        <v>794</v>
      </c>
      <c r="X11" s="44">
        <v>931</v>
      </c>
      <c r="Y11" s="44">
        <v>915</v>
      </c>
      <c r="Z11" s="44">
        <v>471</v>
      </c>
      <c r="AA11" s="44">
        <v>307</v>
      </c>
      <c r="AB11" s="44">
        <v>983</v>
      </c>
      <c r="AC11" s="44">
        <v>1281</v>
      </c>
      <c r="AD11" s="44">
        <v>1658</v>
      </c>
      <c r="AE11" s="44">
        <v>1892</v>
      </c>
      <c r="AF11" s="44">
        <v>964</v>
      </c>
      <c r="AG11" s="44">
        <v>510</v>
      </c>
      <c r="AH11" s="44">
        <v>452</v>
      </c>
      <c r="AI11" s="44">
        <v>660</v>
      </c>
      <c r="AJ11" s="44">
        <v>884</v>
      </c>
      <c r="AK11" s="44">
        <v>581</v>
      </c>
      <c r="AL11" s="44">
        <v>119</v>
      </c>
      <c r="AM11" s="44">
        <v>415</v>
      </c>
      <c r="AN11" s="44">
        <v>191</v>
      </c>
      <c r="AO11" s="182">
        <v>277</v>
      </c>
      <c r="AP11" s="182">
        <v>275</v>
      </c>
      <c r="AQ11" s="182">
        <v>920</v>
      </c>
      <c r="AR11" s="182">
        <v>451</v>
      </c>
      <c r="AS11" s="182">
        <v>175</v>
      </c>
      <c r="AT11" s="182">
        <v>132</v>
      </c>
      <c r="AU11" s="182">
        <v>538</v>
      </c>
      <c r="AV11" s="182">
        <v>205</v>
      </c>
      <c r="AW11" s="182">
        <v>135</v>
      </c>
      <c r="AX11" s="182">
        <v>-240</v>
      </c>
      <c r="AY11" s="182">
        <v>-142</v>
      </c>
      <c r="AZ11" s="182">
        <v>592</v>
      </c>
      <c r="BA11" s="182">
        <v>-356</v>
      </c>
      <c r="BB11" s="182">
        <v>247</v>
      </c>
      <c r="BC11" s="182">
        <v>699</v>
      </c>
      <c r="BD11" s="182">
        <v>477</v>
      </c>
    </row>
    <row r="12" spans="1:56" ht="12.75">
      <c r="A12" s="26"/>
      <c r="D12" s="45">
        <v>11743</v>
      </c>
      <c r="E12" s="45">
        <v>11350</v>
      </c>
      <c r="F12" s="45">
        <v>11798</v>
      </c>
      <c r="G12" s="45">
        <v>12251</v>
      </c>
      <c r="H12" s="45">
        <v>17498</v>
      </c>
      <c r="I12" s="45">
        <v>18863</v>
      </c>
      <c r="J12" s="45">
        <v>26635</v>
      </c>
      <c r="K12" s="45">
        <v>28439</v>
      </c>
      <c r="L12" s="45">
        <v>27624</v>
      </c>
      <c r="M12" s="45">
        <v>26003</v>
      </c>
      <c r="N12" s="45">
        <v>24888</v>
      </c>
      <c r="O12" s="45">
        <v>23962</v>
      </c>
      <c r="P12" s="45">
        <v>22673</v>
      </c>
      <c r="Q12" s="45">
        <v>25680</v>
      </c>
      <c r="R12" s="45">
        <v>29649</v>
      </c>
      <c r="S12" s="45">
        <v>29772</v>
      </c>
      <c r="T12" s="45">
        <v>29222</v>
      </c>
      <c r="U12" s="45">
        <v>29291</v>
      </c>
      <c r="V12" s="45">
        <v>28981</v>
      </c>
      <c r="W12" s="45">
        <v>29626</v>
      </c>
      <c r="X12" s="45">
        <f aca="true" t="shared" si="0" ref="X12:AC12">SUM(X8:X11)</f>
        <v>30564</v>
      </c>
      <c r="Y12" s="45">
        <f t="shared" si="0"/>
        <v>30396</v>
      </c>
      <c r="Z12" s="45">
        <f t="shared" si="0"/>
        <v>30661</v>
      </c>
      <c r="AA12" s="45">
        <f t="shared" si="0"/>
        <v>30874</v>
      </c>
      <c r="AB12" s="45">
        <f t="shared" si="0"/>
        <v>35745</v>
      </c>
      <c r="AC12" s="45">
        <f t="shared" si="0"/>
        <v>35581</v>
      </c>
      <c r="AD12" s="45">
        <f aca="true" t="shared" si="1" ref="AD12:AI12">SUM(AD8:AD11)</f>
        <v>29692</v>
      </c>
      <c r="AE12" s="45">
        <f t="shared" si="1"/>
        <v>29708</v>
      </c>
      <c r="AF12" s="45">
        <f t="shared" si="1"/>
        <v>29985</v>
      </c>
      <c r="AG12" s="45">
        <f t="shared" si="1"/>
        <v>28812</v>
      </c>
      <c r="AH12" s="45">
        <f t="shared" si="1"/>
        <v>28769</v>
      </c>
      <c r="AI12" s="45">
        <f t="shared" si="1"/>
        <v>28600</v>
      </c>
      <c r="AJ12" s="45">
        <f aca="true" t="shared" si="2" ref="AJ12:AP12">SUM(AJ8:AJ11)</f>
        <v>29641</v>
      </c>
      <c r="AK12" s="45">
        <f t="shared" si="2"/>
        <v>31828</v>
      </c>
      <c r="AL12" s="45">
        <f t="shared" si="2"/>
        <v>35459</v>
      </c>
      <c r="AM12" s="45">
        <f t="shared" si="2"/>
        <v>34814</v>
      </c>
      <c r="AN12" s="45">
        <f t="shared" si="2"/>
        <v>34694</v>
      </c>
      <c r="AO12" s="183">
        <f t="shared" si="2"/>
        <v>37220</v>
      </c>
      <c r="AP12" s="183">
        <f t="shared" si="2"/>
        <v>39623</v>
      </c>
      <c r="AQ12" s="183">
        <f aca="true" t="shared" si="3" ref="AQ12:AW12">SUM(AQ8:AQ11)</f>
        <v>38994</v>
      </c>
      <c r="AR12" s="183">
        <f t="shared" si="3"/>
        <v>38550</v>
      </c>
      <c r="AS12" s="183">
        <f t="shared" si="3"/>
        <v>39330</v>
      </c>
      <c r="AT12" s="183">
        <f t="shared" si="3"/>
        <v>39679</v>
      </c>
      <c r="AU12" s="183">
        <f t="shared" si="3"/>
        <v>40240</v>
      </c>
      <c r="AV12" s="183">
        <f t="shared" si="3"/>
        <v>38326</v>
      </c>
      <c r="AW12" s="183">
        <f t="shared" si="3"/>
        <v>38306</v>
      </c>
      <c r="AX12" s="183">
        <f aca="true" t="shared" si="4" ref="AX12:BC12">SUM(AX8:AX11)</f>
        <v>35321</v>
      </c>
      <c r="AY12" s="183">
        <f t="shared" si="4"/>
        <v>33014</v>
      </c>
      <c r="AZ12" s="183">
        <f t="shared" si="4"/>
        <v>32494</v>
      </c>
      <c r="BA12" s="183">
        <f t="shared" si="4"/>
        <v>32477</v>
      </c>
      <c r="BB12" s="183">
        <f t="shared" si="4"/>
        <v>31546</v>
      </c>
      <c r="BC12" s="183">
        <f t="shared" si="4"/>
        <v>30402</v>
      </c>
      <c r="BD12" s="183">
        <f>SUM(BD8:BD11)</f>
        <v>30215</v>
      </c>
    </row>
    <row r="13" spans="4:46" ht="12.75">
      <c r="D13" s="46"/>
      <c r="F13" s="46"/>
      <c r="G13" s="46"/>
      <c r="H13" s="46"/>
      <c r="I13" s="46"/>
      <c r="J13" s="46"/>
      <c r="K13" s="46"/>
      <c r="L13" s="46"/>
      <c r="M13" s="46"/>
      <c r="N13" s="46"/>
      <c r="O13" s="46"/>
      <c r="P13" s="46"/>
      <c r="Q13" s="46"/>
      <c r="R13" s="46"/>
      <c r="S13" s="46"/>
      <c r="T13" s="46"/>
      <c r="U13" s="46"/>
      <c r="V13" s="46"/>
      <c r="X13" s="148"/>
      <c r="AT13" s="80"/>
    </row>
    <row r="14" spans="1:46" ht="12.75">
      <c r="A14" s="34" t="s">
        <v>62</v>
      </c>
      <c r="D14" s="46"/>
      <c r="F14" s="46"/>
      <c r="G14" s="46"/>
      <c r="H14" s="46"/>
      <c r="I14" s="46"/>
      <c r="J14" s="46"/>
      <c r="K14" s="46"/>
      <c r="L14" s="46"/>
      <c r="M14" s="46"/>
      <c r="N14" s="46"/>
      <c r="O14" s="46"/>
      <c r="P14" s="46"/>
      <c r="Q14" s="46"/>
      <c r="R14" s="46"/>
      <c r="S14" s="46"/>
      <c r="T14" s="46"/>
      <c r="U14" s="46"/>
      <c r="V14" s="46"/>
      <c r="X14" s="148"/>
      <c r="AT14" s="80"/>
    </row>
    <row r="15" spans="1:56" ht="12.75">
      <c r="A15" s="25"/>
      <c r="B15" s="80" t="s">
        <v>113</v>
      </c>
      <c r="D15" s="44">
        <v>-614</v>
      </c>
      <c r="E15" s="44">
        <v>-827</v>
      </c>
      <c r="F15" s="44">
        <v>-779</v>
      </c>
      <c r="G15" s="44">
        <v>-635</v>
      </c>
      <c r="H15" s="44">
        <v>-1002</v>
      </c>
      <c r="I15" s="44">
        <v>-1154</v>
      </c>
      <c r="J15" s="44">
        <v>-2251</v>
      </c>
      <c r="K15" s="44">
        <v>-1754</v>
      </c>
      <c r="L15" s="44">
        <v>-2021</v>
      </c>
      <c r="M15" s="44">
        <v>-1807</v>
      </c>
      <c r="N15" s="44">
        <v>-1551</v>
      </c>
      <c r="O15" s="44">
        <v>-1515</v>
      </c>
      <c r="P15" s="44">
        <v>-1937</v>
      </c>
      <c r="Q15" s="44">
        <v>-1842</v>
      </c>
      <c r="R15" s="44">
        <v>-1959</v>
      </c>
      <c r="S15" s="44">
        <v>-1986</v>
      </c>
      <c r="T15" s="44">
        <v>-2408</v>
      </c>
      <c r="U15" s="44">
        <v>-1663</v>
      </c>
      <c r="V15" s="44">
        <v>-1746</v>
      </c>
      <c r="W15" s="44">
        <v>-1957</v>
      </c>
      <c r="X15" s="44">
        <v>-1829</v>
      </c>
      <c r="Y15" s="44">
        <v>-1706</v>
      </c>
      <c r="Z15" s="44">
        <v>-1597</v>
      </c>
      <c r="AA15" s="44">
        <v>-1930</v>
      </c>
      <c r="AB15" s="44">
        <v>-2571</v>
      </c>
      <c r="AC15" s="44">
        <v>-2305</v>
      </c>
      <c r="AD15" s="44">
        <v>-1887</v>
      </c>
      <c r="AE15" s="44">
        <v>-2012</v>
      </c>
      <c r="AF15" s="44">
        <v>-2306</v>
      </c>
      <c r="AG15" s="44">
        <v>-2075</v>
      </c>
      <c r="AH15" s="44">
        <v>-1762</v>
      </c>
      <c r="AI15" s="44">
        <v>-2419</v>
      </c>
      <c r="AJ15" s="44">
        <v>-2376</v>
      </c>
      <c r="AK15" s="44">
        <v>-2430</v>
      </c>
      <c r="AL15" s="44">
        <v>-2792</v>
      </c>
      <c r="AM15" s="44">
        <v>-3156</v>
      </c>
      <c r="AN15" s="44">
        <v>-3294</v>
      </c>
      <c r="AO15" s="182">
        <v>-3019</v>
      </c>
      <c r="AP15" s="182">
        <v>-3324</v>
      </c>
      <c r="AQ15" s="182">
        <v>-3268</v>
      </c>
      <c r="AR15" s="182">
        <v>-3468</v>
      </c>
      <c r="AS15" s="182">
        <v>-3318</v>
      </c>
      <c r="AT15" s="182">
        <v>-3677</v>
      </c>
      <c r="AU15" s="182">
        <v>-3418</v>
      </c>
      <c r="AV15" s="182">
        <v>-3569</v>
      </c>
      <c r="AW15" s="182">
        <v>-4618</v>
      </c>
      <c r="AX15" s="182">
        <v>-3480</v>
      </c>
      <c r="AY15" s="182">
        <v>-3717</v>
      </c>
      <c r="AZ15" s="182">
        <v>-5073</v>
      </c>
      <c r="BA15" s="182">
        <v>-3625</v>
      </c>
      <c r="BB15" s="182">
        <v>-2875</v>
      </c>
      <c r="BC15" s="182">
        <v>-3050</v>
      </c>
      <c r="BD15" s="182">
        <v>-2987</v>
      </c>
    </row>
    <row r="16" spans="1:56" ht="12.75">
      <c r="A16" s="25"/>
      <c r="B16" s="80" t="s">
        <v>114</v>
      </c>
      <c r="D16" s="44">
        <v>-326</v>
      </c>
      <c r="E16" s="44">
        <v>-321</v>
      </c>
      <c r="F16" s="44">
        <v>-333</v>
      </c>
      <c r="G16" s="44">
        <v>-342</v>
      </c>
      <c r="H16" s="44">
        <v>-371</v>
      </c>
      <c r="I16" s="44">
        <v>-517</v>
      </c>
      <c r="J16" s="44">
        <v>-790</v>
      </c>
      <c r="K16" s="44">
        <v>-817</v>
      </c>
      <c r="L16" s="44">
        <v>-831</v>
      </c>
      <c r="M16" s="44">
        <v>-799</v>
      </c>
      <c r="N16" s="44">
        <v>-741</v>
      </c>
      <c r="O16" s="44">
        <v>-317</v>
      </c>
      <c r="P16" s="44">
        <v>-291</v>
      </c>
      <c r="Q16" s="44">
        <v>-357</v>
      </c>
      <c r="R16" s="44">
        <v>-456</v>
      </c>
      <c r="S16" s="44">
        <v>-459</v>
      </c>
      <c r="T16" s="44">
        <v>-456</v>
      </c>
      <c r="U16" s="44">
        <v>-460</v>
      </c>
      <c r="V16" s="44">
        <v>-455</v>
      </c>
      <c r="W16" s="44">
        <v>-460</v>
      </c>
      <c r="X16" s="44">
        <v>-462</v>
      </c>
      <c r="Y16" s="44">
        <v>-461</v>
      </c>
      <c r="Z16" s="44">
        <v>-463</v>
      </c>
      <c r="AA16" s="44">
        <v>-473</v>
      </c>
      <c r="AB16" s="44">
        <v>-546</v>
      </c>
      <c r="AC16" s="44">
        <v>-500</v>
      </c>
      <c r="AD16" s="44">
        <v>-397</v>
      </c>
      <c r="AE16" s="44">
        <v>-408</v>
      </c>
      <c r="AF16" s="44">
        <v>-423</v>
      </c>
      <c r="AG16" s="44">
        <v>-429</v>
      </c>
      <c r="AH16" s="44">
        <v>-428</v>
      </c>
      <c r="AI16" s="44">
        <v>-425</v>
      </c>
      <c r="AJ16" s="44">
        <v>-436</v>
      </c>
      <c r="AK16" s="44">
        <v>-525</v>
      </c>
      <c r="AL16" s="44">
        <v>-657</v>
      </c>
      <c r="AM16" s="44">
        <v>-653</v>
      </c>
      <c r="AN16" s="44">
        <v>-656</v>
      </c>
      <c r="AO16" s="182">
        <v>-673</v>
      </c>
      <c r="AP16" s="182">
        <v>-673</v>
      </c>
      <c r="AQ16" s="182">
        <v>-657</v>
      </c>
      <c r="AR16" s="182">
        <v>-652</v>
      </c>
      <c r="AS16" s="182">
        <v>-648</v>
      </c>
      <c r="AT16" s="182">
        <v>-810</v>
      </c>
      <c r="AU16" s="182">
        <v>-809</v>
      </c>
      <c r="AV16" s="182">
        <v>-780</v>
      </c>
      <c r="AW16" s="182">
        <v>-783</v>
      </c>
      <c r="AX16" s="182">
        <v>-720</v>
      </c>
      <c r="AY16" s="182">
        <v>-655</v>
      </c>
      <c r="AZ16" s="182">
        <v>-647</v>
      </c>
      <c r="BA16" s="182">
        <v>-615</v>
      </c>
      <c r="BB16" s="182">
        <v>-604</v>
      </c>
      <c r="BC16" s="182">
        <v>-567</v>
      </c>
      <c r="BD16" s="182">
        <v>-582</v>
      </c>
    </row>
    <row r="17" spans="1:56" ht="12.75">
      <c r="A17" s="25"/>
      <c r="B17" s="80" t="s">
        <v>63</v>
      </c>
      <c r="D17" s="44">
        <v>-95</v>
      </c>
      <c r="E17" s="44">
        <v>-100</v>
      </c>
      <c r="F17" s="44">
        <v>-123</v>
      </c>
      <c r="G17" s="44">
        <v>-129</v>
      </c>
      <c r="H17" s="44">
        <v>-141</v>
      </c>
      <c r="I17" s="44">
        <v>-283</v>
      </c>
      <c r="J17" s="44">
        <v>-538</v>
      </c>
      <c r="K17" s="44">
        <v>-1120</v>
      </c>
      <c r="L17" s="44">
        <v>-1107</v>
      </c>
      <c r="M17" s="44">
        <v>-1190</v>
      </c>
      <c r="N17" s="44">
        <v>-1254</v>
      </c>
      <c r="O17" s="44">
        <v>-988</v>
      </c>
      <c r="P17" s="44">
        <v>-975</v>
      </c>
      <c r="Q17" s="44">
        <v>-993</v>
      </c>
      <c r="R17" s="44">
        <v>-1014</v>
      </c>
      <c r="S17" s="44">
        <v>-1036</v>
      </c>
      <c r="T17" s="44">
        <v>-960</v>
      </c>
      <c r="U17" s="44">
        <v>-875</v>
      </c>
      <c r="V17" s="44">
        <v>-872</v>
      </c>
      <c r="W17" s="44">
        <v>-742</v>
      </c>
      <c r="X17" s="44">
        <v>-698</v>
      </c>
      <c r="Y17" s="44">
        <v>-799</v>
      </c>
      <c r="Z17" s="44">
        <v>-903</v>
      </c>
      <c r="AA17" s="44">
        <v>-781</v>
      </c>
      <c r="AB17" s="44">
        <v>-1408</v>
      </c>
      <c r="AC17" s="44">
        <v>-1296</v>
      </c>
      <c r="AD17" s="44">
        <v>-867</v>
      </c>
      <c r="AE17" s="44">
        <v>-719</v>
      </c>
      <c r="AF17" s="44">
        <v>-590</v>
      </c>
      <c r="AG17" s="44">
        <v>-977</v>
      </c>
      <c r="AH17" s="44">
        <v>-872</v>
      </c>
      <c r="AI17" s="44">
        <v>-808</v>
      </c>
      <c r="AJ17" s="44">
        <v>-546</v>
      </c>
      <c r="AK17" s="44">
        <v>-1194</v>
      </c>
      <c r="AL17" s="44">
        <v>-1910</v>
      </c>
      <c r="AM17" s="44">
        <v>-1900</v>
      </c>
      <c r="AN17" s="44">
        <v>-1938</v>
      </c>
      <c r="AO17" s="182">
        <v>-2026</v>
      </c>
      <c r="AP17" s="182">
        <v>-2115</v>
      </c>
      <c r="AQ17" s="182">
        <v>-2139</v>
      </c>
      <c r="AR17" s="182">
        <v>-2120</v>
      </c>
      <c r="AS17" s="182">
        <v>-1952</v>
      </c>
      <c r="AT17" s="182">
        <v>-1889</v>
      </c>
      <c r="AU17" s="182">
        <v>-2160</v>
      </c>
      <c r="AV17" s="182">
        <v>-2008</v>
      </c>
      <c r="AW17" s="182">
        <v>-2040</v>
      </c>
      <c r="AX17" s="182">
        <v>-1953</v>
      </c>
      <c r="AY17" s="182">
        <v>-2037</v>
      </c>
      <c r="AZ17" s="182">
        <v>-2066</v>
      </c>
      <c r="BA17" s="182">
        <v>-2108</v>
      </c>
      <c r="BB17" s="182">
        <v>-2014</v>
      </c>
      <c r="BC17" s="182">
        <v>-1921</v>
      </c>
      <c r="BD17" s="182">
        <v>-2041</v>
      </c>
    </row>
    <row r="18" spans="1:56" ht="12.75">
      <c r="A18" s="25"/>
      <c r="B18" s="80" t="s">
        <v>115</v>
      </c>
      <c r="C18" s="80"/>
      <c r="D18" s="44">
        <v>-395</v>
      </c>
      <c r="E18" s="44">
        <v>-280</v>
      </c>
      <c r="F18" s="44">
        <v>-318</v>
      </c>
      <c r="G18" s="44">
        <v>-394</v>
      </c>
      <c r="H18" s="44">
        <v>-388</v>
      </c>
      <c r="I18" s="44">
        <v>-622</v>
      </c>
      <c r="J18" s="44">
        <v>-1009</v>
      </c>
      <c r="K18" s="44">
        <v>-1274</v>
      </c>
      <c r="L18" s="44">
        <v>-1307</v>
      </c>
      <c r="M18" s="44">
        <v>-1343</v>
      </c>
      <c r="N18" s="44">
        <v>-1296</v>
      </c>
      <c r="O18" s="44">
        <v>-1222</v>
      </c>
      <c r="P18" s="44">
        <v>-1094</v>
      </c>
      <c r="Q18" s="44">
        <v>-1189</v>
      </c>
      <c r="R18" s="44">
        <v>-1271</v>
      </c>
      <c r="S18" s="44">
        <v>-1333</v>
      </c>
      <c r="T18" s="44">
        <v>-1347</v>
      </c>
      <c r="U18" s="44">
        <v>-1764</v>
      </c>
      <c r="V18" s="44">
        <v>-1326</v>
      </c>
      <c r="W18" s="44">
        <v>-1241</v>
      </c>
      <c r="X18" s="44">
        <v>-1228</v>
      </c>
      <c r="Y18" s="44">
        <v>-1398</v>
      </c>
      <c r="Z18" s="44">
        <v>-1433</v>
      </c>
      <c r="AA18" s="44">
        <v>-1293</v>
      </c>
      <c r="AB18" s="44">
        <v>-2449</v>
      </c>
      <c r="AC18" s="44">
        <v>-2428</v>
      </c>
      <c r="AD18" s="44">
        <v>-1651</v>
      </c>
      <c r="AE18" s="44">
        <v>-1533</v>
      </c>
      <c r="AF18" s="44">
        <v>-1585</v>
      </c>
      <c r="AG18" s="44">
        <v>-611</v>
      </c>
      <c r="AH18" s="44">
        <v>-1580</v>
      </c>
      <c r="AI18" s="44">
        <v>-1306</v>
      </c>
      <c r="AJ18" s="44">
        <v>-1385</v>
      </c>
      <c r="AK18" s="44">
        <v>-1713</v>
      </c>
      <c r="AL18" s="44">
        <v>-2613</v>
      </c>
      <c r="AM18" s="44">
        <v>-2318</v>
      </c>
      <c r="AN18" s="44">
        <v>-2440</v>
      </c>
      <c r="AO18" s="182">
        <v>-1920</v>
      </c>
      <c r="AP18" s="182">
        <v>-1764</v>
      </c>
      <c r="AQ18" s="182">
        <v>-1703</v>
      </c>
      <c r="AR18" s="182">
        <v>-1715</v>
      </c>
      <c r="AS18" s="182">
        <v>-1447</v>
      </c>
      <c r="AT18" s="182">
        <v>-1624</v>
      </c>
      <c r="AU18" s="182">
        <v>-1514</v>
      </c>
      <c r="AV18" s="182">
        <v>-1632</v>
      </c>
      <c r="AW18" s="182">
        <v>-1659</v>
      </c>
      <c r="AX18" s="182">
        <v>-1877</v>
      </c>
      <c r="AY18" s="182">
        <v>-1704</v>
      </c>
      <c r="AZ18" s="182">
        <v>-1869</v>
      </c>
      <c r="BA18" s="182">
        <v>-1115</v>
      </c>
      <c r="BB18" s="182">
        <v>-1480</v>
      </c>
      <c r="BC18" s="182">
        <v>-1405</v>
      </c>
      <c r="BD18" s="182">
        <v>-1521</v>
      </c>
    </row>
    <row r="19" spans="1:56" ht="12.75">
      <c r="A19" s="25"/>
      <c r="B19" s="80" t="s">
        <v>64</v>
      </c>
      <c r="C19" s="80"/>
      <c r="D19" s="44">
        <v>-554</v>
      </c>
      <c r="E19" s="44">
        <v>-510</v>
      </c>
      <c r="F19" s="44">
        <v>-559</v>
      </c>
      <c r="G19" s="44">
        <v>-522</v>
      </c>
      <c r="H19" s="44">
        <v>-474</v>
      </c>
      <c r="I19" s="44">
        <v>-831</v>
      </c>
      <c r="J19" s="44">
        <v>-1433</v>
      </c>
      <c r="K19" s="44">
        <v>-1391</v>
      </c>
      <c r="L19" s="44">
        <v>-1549</v>
      </c>
      <c r="M19" s="44">
        <v>-1356</v>
      </c>
      <c r="N19" s="44">
        <v>-1487</v>
      </c>
      <c r="O19" s="44">
        <v>-1252</v>
      </c>
      <c r="P19" s="44">
        <v>-1303</v>
      </c>
      <c r="Q19" s="44">
        <v>-1338</v>
      </c>
      <c r="R19" s="44">
        <v>-1447</v>
      </c>
      <c r="S19" s="44">
        <v>-1350</v>
      </c>
      <c r="T19" s="44">
        <v>-1353</v>
      </c>
      <c r="U19" s="44">
        <v>-1299</v>
      </c>
      <c r="V19" s="44">
        <v>-1636</v>
      </c>
      <c r="W19" s="44">
        <v>-1379</v>
      </c>
      <c r="X19" s="44">
        <v>-1467</v>
      </c>
      <c r="Y19" s="44">
        <v>-1688</v>
      </c>
      <c r="Z19" s="44">
        <v>-1632</v>
      </c>
      <c r="AA19" s="44">
        <v>-1637</v>
      </c>
      <c r="AB19" s="44">
        <v>-2130</v>
      </c>
      <c r="AC19" s="44">
        <v>-2570</v>
      </c>
      <c r="AD19" s="44">
        <v>-1956</v>
      </c>
      <c r="AE19" s="44">
        <v>-1998</v>
      </c>
      <c r="AF19" s="44">
        <f>-851-93-312-149-594</f>
        <v>-1999</v>
      </c>
      <c r="AG19" s="44">
        <f>-6930-SUM(AG15:AG18)</f>
        <v>-2838</v>
      </c>
      <c r="AH19" s="44">
        <f>-823-91-397-140-550</f>
        <v>-2001</v>
      </c>
      <c r="AI19" s="44">
        <f>-814-90-391-157-486</f>
        <v>-1938</v>
      </c>
      <c r="AJ19" s="44">
        <f>-832-92-405-152-498</f>
        <v>-1979</v>
      </c>
      <c r="AK19" s="44">
        <f>-823-103-366-162-707</f>
        <v>-2161</v>
      </c>
      <c r="AL19" s="44">
        <f>-792-123-350-162-616</f>
        <v>-2043</v>
      </c>
      <c r="AM19" s="44">
        <f>-867-123-337-180-564</f>
        <v>-2071</v>
      </c>
      <c r="AN19" s="44">
        <f>-898-115-333-215-484</f>
        <v>-2045</v>
      </c>
      <c r="AO19" s="182">
        <f>-874-122-419-188-592</f>
        <v>-2195</v>
      </c>
      <c r="AP19" s="182">
        <f>-928-118-486-234-603</f>
        <v>-2369</v>
      </c>
      <c r="AQ19" s="182">
        <f>-973-114-517-205-582</f>
        <v>-2391</v>
      </c>
      <c r="AR19" s="182">
        <f>-1104-126-495-229-530</f>
        <v>-2484</v>
      </c>
      <c r="AS19" s="182">
        <f>-10041-SUM(AS15:AS18)</f>
        <v>-2676</v>
      </c>
      <c r="AT19" s="198">
        <f>-10467-SUM(AT15:AT18)</f>
        <v>-2467</v>
      </c>
      <c r="AU19" s="182">
        <f>-883-117-562-246-511</f>
        <v>-2319</v>
      </c>
      <c r="AV19" s="182">
        <f>-814-122-548-232-745</f>
        <v>-2461</v>
      </c>
      <c r="AW19" s="182">
        <f>-890-131-484-233-733</f>
        <v>-2471</v>
      </c>
      <c r="AX19" s="182">
        <f>-553-207-351-116-17-14-807-367-1</f>
        <v>-2433</v>
      </c>
      <c r="AY19" s="182">
        <f>-830-113-550-225-751</f>
        <v>-2469</v>
      </c>
      <c r="AZ19" s="182">
        <f>-812-113-539-215-789</f>
        <v>-2468</v>
      </c>
      <c r="BA19" s="182">
        <f>-856-114-561-234-1094-544</f>
        <v>-3403</v>
      </c>
      <c r="BB19" s="182">
        <f>-840-240-555-243-1029-544</f>
        <v>-3451</v>
      </c>
      <c r="BC19" s="182">
        <f>-784-242-530-272-1022-522</f>
        <v>-3372</v>
      </c>
      <c r="BD19" s="182">
        <f>-837-244-533-262-1083-372</f>
        <v>-3331</v>
      </c>
    </row>
    <row r="20" spans="1:56" ht="12.75">
      <c r="A20" s="25"/>
      <c r="B20" s="28"/>
      <c r="C20" s="34"/>
      <c r="D20" s="47">
        <v>-1984</v>
      </c>
      <c r="E20" s="47">
        <v>-2038</v>
      </c>
      <c r="F20" s="47">
        <v>-2112</v>
      </c>
      <c r="G20" s="47">
        <v>-2022</v>
      </c>
      <c r="H20" s="47">
        <v>-2376</v>
      </c>
      <c r="I20" s="47">
        <v>-3407</v>
      </c>
      <c r="J20" s="47">
        <v>-6021</v>
      </c>
      <c r="K20" s="47">
        <v>-6356</v>
      </c>
      <c r="L20" s="47">
        <v>-6815</v>
      </c>
      <c r="M20" s="47">
        <v>-6495</v>
      </c>
      <c r="N20" s="47">
        <v>-6329</v>
      </c>
      <c r="O20" s="47">
        <v>-5294</v>
      </c>
      <c r="P20" s="47">
        <v>-5600</v>
      </c>
      <c r="Q20" s="47">
        <v>-5719</v>
      </c>
      <c r="R20" s="47">
        <v>-6147</v>
      </c>
      <c r="S20" s="47">
        <v>-6164</v>
      </c>
      <c r="T20" s="47">
        <v>-6524</v>
      </c>
      <c r="U20" s="47">
        <v>-6061</v>
      </c>
      <c r="V20" s="47">
        <v>-6035</v>
      </c>
      <c r="W20" s="47">
        <v>-5779</v>
      </c>
      <c r="X20" s="47">
        <f aca="true" t="shared" si="5" ref="X20:AC20">SUM(X15:X19)</f>
        <v>-5684</v>
      </c>
      <c r="Y20" s="47">
        <f t="shared" si="5"/>
        <v>-6052</v>
      </c>
      <c r="Z20" s="47">
        <f t="shared" si="5"/>
        <v>-6028</v>
      </c>
      <c r="AA20" s="47">
        <f t="shared" si="5"/>
        <v>-6114</v>
      </c>
      <c r="AB20" s="47">
        <f t="shared" si="5"/>
        <v>-9104</v>
      </c>
      <c r="AC20" s="47">
        <f t="shared" si="5"/>
        <v>-9099</v>
      </c>
      <c r="AD20" s="47">
        <f aca="true" t="shared" si="6" ref="AD20:AI20">SUM(AD15:AD19)</f>
        <v>-6758</v>
      </c>
      <c r="AE20" s="47">
        <f t="shared" si="6"/>
        <v>-6670</v>
      </c>
      <c r="AF20" s="47">
        <f t="shared" si="6"/>
        <v>-6903</v>
      </c>
      <c r="AG20" s="47">
        <f t="shared" si="6"/>
        <v>-6930</v>
      </c>
      <c r="AH20" s="47">
        <f t="shared" si="6"/>
        <v>-6643</v>
      </c>
      <c r="AI20" s="47">
        <f t="shared" si="6"/>
        <v>-6896</v>
      </c>
      <c r="AJ20" s="47">
        <f aca="true" t="shared" si="7" ref="AJ20:AP20">SUM(AJ15:AJ19)</f>
        <v>-6722</v>
      </c>
      <c r="AK20" s="47">
        <f t="shared" si="7"/>
        <v>-8023</v>
      </c>
      <c r="AL20" s="47">
        <f t="shared" si="7"/>
        <v>-10015</v>
      </c>
      <c r="AM20" s="47">
        <f t="shared" si="7"/>
        <v>-10098</v>
      </c>
      <c r="AN20" s="47">
        <f t="shared" si="7"/>
        <v>-10373</v>
      </c>
      <c r="AO20" s="184">
        <f t="shared" si="7"/>
        <v>-9833</v>
      </c>
      <c r="AP20" s="184">
        <f t="shared" si="7"/>
        <v>-10245</v>
      </c>
      <c r="AQ20" s="184">
        <f aca="true" t="shared" si="8" ref="AQ20:AV20">SUM(AQ15:AQ19)</f>
        <v>-10158</v>
      </c>
      <c r="AR20" s="184">
        <f t="shared" si="8"/>
        <v>-10439</v>
      </c>
      <c r="AS20" s="184">
        <f t="shared" si="8"/>
        <v>-10041</v>
      </c>
      <c r="AT20" s="184">
        <f t="shared" si="8"/>
        <v>-10467</v>
      </c>
      <c r="AU20" s="184">
        <f t="shared" si="8"/>
        <v>-10220</v>
      </c>
      <c r="AV20" s="184">
        <f t="shared" si="8"/>
        <v>-10450</v>
      </c>
      <c r="AW20" s="184">
        <f aca="true" t="shared" si="9" ref="AW20:BB20">SUM(AW15:AW19)</f>
        <v>-11571</v>
      </c>
      <c r="AX20" s="184">
        <f t="shared" si="9"/>
        <v>-10463</v>
      </c>
      <c r="AY20" s="184">
        <f t="shared" si="9"/>
        <v>-10582</v>
      </c>
      <c r="AZ20" s="184">
        <f t="shared" si="9"/>
        <v>-12123</v>
      </c>
      <c r="BA20" s="184">
        <f t="shared" si="9"/>
        <v>-10866</v>
      </c>
      <c r="BB20" s="184">
        <f t="shared" si="9"/>
        <v>-10424</v>
      </c>
      <c r="BC20" s="184">
        <f>SUM(BC15:BC19)</f>
        <v>-10315</v>
      </c>
      <c r="BD20" s="184">
        <f>SUM(BD15:BD19)</f>
        <v>-10462</v>
      </c>
    </row>
    <row r="21" spans="1:46" ht="12.75">
      <c r="A21" s="25"/>
      <c r="B21" s="27"/>
      <c r="D21" s="44"/>
      <c r="F21" s="44"/>
      <c r="G21" s="44"/>
      <c r="H21" s="44"/>
      <c r="I21" s="44"/>
      <c r="J21" s="44"/>
      <c r="K21" s="44"/>
      <c r="L21" s="44"/>
      <c r="M21" s="44"/>
      <c r="N21" s="44"/>
      <c r="O21" s="44"/>
      <c r="P21" s="44"/>
      <c r="Q21" s="44"/>
      <c r="R21" s="44"/>
      <c r="S21" s="44"/>
      <c r="T21" s="44"/>
      <c r="U21" s="44"/>
      <c r="V21" s="44"/>
      <c r="X21" s="148"/>
      <c r="AT21" s="80"/>
    </row>
    <row r="22" spans="1:56" s="81" customFormat="1" ht="12.75">
      <c r="A22" s="34" t="s">
        <v>65</v>
      </c>
      <c r="B22" s="34"/>
      <c r="C22" s="34"/>
      <c r="D22" s="51">
        <v>9759</v>
      </c>
      <c r="E22" s="51">
        <v>9312</v>
      </c>
      <c r="F22" s="51">
        <v>9686</v>
      </c>
      <c r="G22" s="51">
        <v>10229</v>
      </c>
      <c r="H22" s="51">
        <v>15122</v>
      </c>
      <c r="I22" s="51">
        <v>15456</v>
      </c>
      <c r="J22" s="51">
        <v>20614</v>
      </c>
      <c r="K22" s="51">
        <v>22083</v>
      </c>
      <c r="L22" s="51">
        <v>20809</v>
      </c>
      <c r="M22" s="51">
        <v>19508</v>
      </c>
      <c r="N22" s="51">
        <v>18559</v>
      </c>
      <c r="O22" s="51">
        <v>18668</v>
      </c>
      <c r="P22" s="51">
        <v>17073</v>
      </c>
      <c r="Q22" s="51">
        <v>19961</v>
      </c>
      <c r="R22" s="51">
        <v>23502</v>
      </c>
      <c r="S22" s="51">
        <v>23608</v>
      </c>
      <c r="T22" s="51">
        <v>22698</v>
      </c>
      <c r="U22" s="51">
        <v>23230</v>
      </c>
      <c r="V22" s="51">
        <v>22946</v>
      </c>
      <c r="W22" s="51">
        <v>23847</v>
      </c>
      <c r="X22" s="51">
        <f aca="true" t="shared" si="10" ref="X22:AC22">X12+X20</f>
        <v>24880</v>
      </c>
      <c r="Y22" s="51">
        <f t="shared" si="10"/>
        <v>24344</v>
      </c>
      <c r="Z22" s="51">
        <f t="shared" si="10"/>
        <v>24633</v>
      </c>
      <c r="AA22" s="51">
        <f t="shared" si="10"/>
        <v>24760</v>
      </c>
      <c r="AB22" s="51">
        <f t="shared" si="10"/>
        <v>26641</v>
      </c>
      <c r="AC22" s="51">
        <f t="shared" si="10"/>
        <v>26482</v>
      </c>
      <c r="AD22" s="51">
        <f aca="true" t="shared" si="11" ref="AD22:AI22">AD12+AD20</f>
        <v>22934</v>
      </c>
      <c r="AE22" s="51">
        <f t="shared" si="11"/>
        <v>23038</v>
      </c>
      <c r="AF22" s="51">
        <f t="shared" si="11"/>
        <v>23082</v>
      </c>
      <c r="AG22" s="51">
        <f t="shared" si="11"/>
        <v>21882</v>
      </c>
      <c r="AH22" s="51">
        <f t="shared" si="11"/>
        <v>22126</v>
      </c>
      <c r="AI22" s="51">
        <f t="shared" si="11"/>
        <v>21704</v>
      </c>
      <c r="AJ22" s="51">
        <f aca="true" t="shared" si="12" ref="AJ22:AO22">AJ12+AJ20</f>
        <v>22919</v>
      </c>
      <c r="AK22" s="51">
        <f t="shared" si="12"/>
        <v>23805</v>
      </c>
      <c r="AL22" s="51">
        <f t="shared" si="12"/>
        <v>25444</v>
      </c>
      <c r="AM22" s="51">
        <f t="shared" si="12"/>
        <v>24716</v>
      </c>
      <c r="AN22" s="51">
        <f t="shared" si="12"/>
        <v>24321</v>
      </c>
      <c r="AO22" s="185">
        <f t="shared" si="12"/>
        <v>27387</v>
      </c>
      <c r="AP22" s="185">
        <f aca="true" t="shared" si="13" ref="AP22:AU22">AP12+AP20</f>
        <v>29378</v>
      </c>
      <c r="AQ22" s="185">
        <f t="shared" si="13"/>
        <v>28836</v>
      </c>
      <c r="AR22" s="185">
        <f t="shared" si="13"/>
        <v>28111</v>
      </c>
      <c r="AS22" s="185">
        <f t="shared" si="13"/>
        <v>29289</v>
      </c>
      <c r="AT22" s="185">
        <f t="shared" si="13"/>
        <v>29212</v>
      </c>
      <c r="AU22" s="185">
        <f t="shared" si="13"/>
        <v>30020</v>
      </c>
      <c r="AV22" s="185">
        <f aca="true" t="shared" si="14" ref="AV22:BA22">AV12+AV20</f>
        <v>27876</v>
      </c>
      <c r="AW22" s="185">
        <f t="shared" si="14"/>
        <v>26735</v>
      </c>
      <c r="AX22" s="185">
        <f t="shared" si="14"/>
        <v>24858</v>
      </c>
      <c r="AY22" s="185">
        <f t="shared" si="14"/>
        <v>22432</v>
      </c>
      <c r="AZ22" s="185">
        <f t="shared" si="14"/>
        <v>20371</v>
      </c>
      <c r="BA22" s="185">
        <f t="shared" si="14"/>
        <v>21611</v>
      </c>
      <c r="BB22" s="185">
        <f>BB12+BB20</f>
        <v>21122</v>
      </c>
      <c r="BC22" s="185">
        <f>BC12+BC20</f>
        <v>20087</v>
      </c>
      <c r="BD22" s="185">
        <f>BD12+BD20</f>
        <v>19753</v>
      </c>
    </row>
    <row r="23" spans="4:46" ht="12.75">
      <c r="D23" s="46"/>
      <c r="F23" s="46"/>
      <c r="G23" s="46"/>
      <c r="H23" s="46"/>
      <c r="I23" s="46"/>
      <c r="J23" s="46"/>
      <c r="K23" s="46"/>
      <c r="L23" s="46"/>
      <c r="M23" s="46"/>
      <c r="N23" s="46"/>
      <c r="O23" s="46"/>
      <c r="P23" s="46"/>
      <c r="Q23" s="46"/>
      <c r="R23" s="46"/>
      <c r="S23" s="46"/>
      <c r="T23" s="46"/>
      <c r="U23" s="46"/>
      <c r="V23" s="46"/>
      <c r="X23" s="148"/>
      <c r="AT23" s="80"/>
    </row>
    <row r="24" spans="2:56" ht="12.75">
      <c r="B24" s="26" t="s">
        <v>263</v>
      </c>
      <c r="D24" s="46"/>
      <c r="F24" s="46"/>
      <c r="G24" s="46"/>
      <c r="H24" s="46"/>
      <c r="I24" s="46"/>
      <c r="J24" s="46"/>
      <c r="K24" s="46"/>
      <c r="L24" s="46"/>
      <c r="M24" s="46"/>
      <c r="N24" s="46"/>
      <c r="O24" s="46"/>
      <c r="P24" s="46"/>
      <c r="Q24" s="46"/>
      <c r="R24" s="46"/>
      <c r="S24" s="46"/>
      <c r="T24" s="46"/>
      <c r="U24" s="46"/>
      <c r="V24" s="46"/>
      <c r="X24" s="148"/>
      <c r="AT24" s="80"/>
      <c r="AY24" s="182">
        <v>1347</v>
      </c>
      <c r="AZ24" s="182">
        <v>1603</v>
      </c>
      <c r="BA24" s="182">
        <v>2547</v>
      </c>
      <c r="BB24" s="182">
        <v>1576</v>
      </c>
      <c r="BC24" s="182">
        <v>1594</v>
      </c>
      <c r="BD24" s="182">
        <v>1732</v>
      </c>
    </row>
    <row r="25" spans="1:56" ht="12.75">
      <c r="A25" s="25"/>
      <c r="B25" s="80" t="s">
        <v>67</v>
      </c>
      <c r="D25" s="44">
        <v>733</v>
      </c>
      <c r="E25" s="44">
        <v>131</v>
      </c>
      <c r="F25" s="44">
        <v>80</v>
      </c>
      <c r="G25" s="44">
        <v>1288</v>
      </c>
      <c r="H25" s="44">
        <v>894</v>
      </c>
      <c r="I25" s="44">
        <v>613</v>
      </c>
      <c r="J25" s="44">
        <v>841</v>
      </c>
      <c r="K25" s="44">
        <v>625</v>
      </c>
      <c r="L25" s="44">
        <v>519</v>
      </c>
      <c r="M25" s="44">
        <v>369</v>
      </c>
      <c r="N25" s="44">
        <v>206</v>
      </c>
      <c r="O25" s="44">
        <v>201</v>
      </c>
      <c r="P25" s="44">
        <v>82</v>
      </c>
      <c r="Q25" s="44">
        <v>79</v>
      </c>
      <c r="R25" s="44">
        <v>71</v>
      </c>
      <c r="S25" s="44">
        <v>67</v>
      </c>
      <c r="T25" s="44">
        <v>64</v>
      </c>
      <c r="U25" s="44">
        <v>65</v>
      </c>
      <c r="V25" s="44">
        <v>93</v>
      </c>
      <c r="W25" s="44">
        <v>116</v>
      </c>
      <c r="X25" s="44">
        <v>114</v>
      </c>
      <c r="Y25" s="44">
        <v>131</v>
      </c>
      <c r="Z25" s="44">
        <v>124</v>
      </c>
      <c r="AA25" s="44">
        <v>185</v>
      </c>
      <c r="AB25" s="44">
        <v>220</v>
      </c>
      <c r="AC25" s="44">
        <v>165</v>
      </c>
      <c r="AD25" s="44">
        <v>408</v>
      </c>
      <c r="AE25" s="44">
        <v>103</v>
      </c>
      <c r="AF25" s="44">
        <v>95</v>
      </c>
      <c r="AG25" s="44">
        <v>103</v>
      </c>
      <c r="AH25" s="44">
        <v>70</v>
      </c>
      <c r="AI25" s="44">
        <v>48</v>
      </c>
      <c r="AJ25" s="44">
        <v>54</v>
      </c>
      <c r="AK25" s="44">
        <v>66</v>
      </c>
      <c r="AL25" s="44">
        <v>103</v>
      </c>
      <c r="AM25" s="44">
        <v>59</v>
      </c>
      <c r="AN25" s="44">
        <v>91</v>
      </c>
      <c r="AO25" s="182">
        <v>153</v>
      </c>
      <c r="AP25" s="182">
        <v>171</v>
      </c>
      <c r="AQ25" s="182">
        <v>167</v>
      </c>
      <c r="AR25" s="182">
        <v>171</v>
      </c>
      <c r="AS25" s="182">
        <v>124</v>
      </c>
      <c r="AT25" s="182">
        <v>134</v>
      </c>
      <c r="AU25" s="182">
        <v>83</v>
      </c>
      <c r="AV25" s="182">
        <v>121</v>
      </c>
      <c r="AW25" s="182">
        <v>163</v>
      </c>
      <c r="AX25" s="182">
        <v>93</v>
      </c>
      <c r="AY25" s="182">
        <v>48</v>
      </c>
      <c r="AZ25" s="182">
        <v>77</v>
      </c>
      <c r="BA25" s="182">
        <v>98</v>
      </c>
      <c r="BB25" s="182">
        <v>37</v>
      </c>
      <c r="BC25" s="182">
        <v>24</v>
      </c>
      <c r="BD25" s="182">
        <v>41</v>
      </c>
    </row>
    <row r="26" spans="1:46" ht="12.75">
      <c r="A26" s="25"/>
      <c r="B26" s="80" t="s">
        <v>130</v>
      </c>
      <c r="D26" s="41">
        <v>0</v>
      </c>
      <c r="E26" s="41">
        <v>0</v>
      </c>
      <c r="F26" s="44">
        <v>0</v>
      </c>
      <c r="G26" s="44">
        <v>0</v>
      </c>
      <c r="H26" s="44">
        <v>0</v>
      </c>
      <c r="I26" s="44">
        <v>0</v>
      </c>
      <c r="J26" s="44">
        <v>-2009</v>
      </c>
      <c r="K26" s="44">
        <v>2009</v>
      </c>
      <c r="L26" s="44">
        <v>0</v>
      </c>
      <c r="M26" s="44">
        <v>0</v>
      </c>
      <c r="N26" s="44">
        <v>-710</v>
      </c>
      <c r="O26" s="44">
        <v>-4052</v>
      </c>
      <c r="P26" s="44">
        <v>-101</v>
      </c>
      <c r="Q26" s="44">
        <v>-688</v>
      </c>
      <c r="R26" s="44">
        <v>-634</v>
      </c>
      <c r="S26" s="44">
        <v>-646</v>
      </c>
      <c r="T26" s="44">
        <v>-621</v>
      </c>
      <c r="U26" s="44">
        <v>-291</v>
      </c>
      <c r="V26" s="44">
        <v>-2</v>
      </c>
      <c r="W26" s="44">
        <v>0</v>
      </c>
      <c r="X26" s="44">
        <v>0</v>
      </c>
      <c r="Y26" s="44">
        <v>0</v>
      </c>
      <c r="Z26" s="44">
        <v>0</v>
      </c>
      <c r="AA26" s="44">
        <v>0</v>
      </c>
      <c r="AB26" s="44">
        <v>0</v>
      </c>
      <c r="AC26" s="44">
        <v>0</v>
      </c>
      <c r="AD26" s="44">
        <v>0</v>
      </c>
      <c r="AE26" s="44">
        <v>0</v>
      </c>
      <c r="AF26" s="44">
        <v>0</v>
      </c>
      <c r="AG26" s="44">
        <v>0</v>
      </c>
      <c r="AH26" s="44">
        <v>0</v>
      </c>
      <c r="AI26" s="44">
        <v>0</v>
      </c>
      <c r="AJ26" s="44">
        <v>0</v>
      </c>
      <c r="AK26" s="44">
        <v>0</v>
      </c>
      <c r="AL26" s="44">
        <v>0</v>
      </c>
      <c r="AM26" s="44">
        <v>0</v>
      </c>
      <c r="AN26" s="44">
        <v>0</v>
      </c>
      <c r="AO26" s="182">
        <v>0</v>
      </c>
      <c r="AP26" s="182">
        <v>0</v>
      </c>
      <c r="AQ26" s="182">
        <v>0</v>
      </c>
      <c r="AR26" s="182">
        <v>0</v>
      </c>
      <c r="AS26" s="182">
        <v>0</v>
      </c>
      <c r="AT26" s="80"/>
    </row>
    <row r="27" spans="1:56" ht="12.75">
      <c r="A27" s="25"/>
      <c r="B27" s="80" t="s">
        <v>141</v>
      </c>
      <c r="C27" s="80"/>
      <c r="D27" s="44">
        <v>0</v>
      </c>
      <c r="E27" s="44">
        <v>0</v>
      </c>
      <c r="F27" s="44">
        <v>0</v>
      </c>
      <c r="G27" s="44">
        <v>-1309</v>
      </c>
      <c r="H27" s="44">
        <v>-1558</v>
      </c>
      <c r="I27" s="44">
        <v>-1958</v>
      </c>
      <c r="J27" s="44">
        <v>-2897</v>
      </c>
      <c r="K27" s="44">
        <v>-3027</v>
      </c>
      <c r="L27" s="44">
        <v>-2947</v>
      </c>
      <c r="M27" s="44">
        <v>-2815</v>
      </c>
      <c r="N27" s="44">
        <v>-2687</v>
      </c>
      <c r="O27" s="44">
        <v>-2462</v>
      </c>
      <c r="P27" s="44">
        <v>-2450</v>
      </c>
      <c r="Q27" s="44">
        <v>-2759</v>
      </c>
      <c r="R27" s="44">
        <v>-3127</v>
      </c>
      <c r="S27" s="44">
        <v>-3097</v>
      </c>
      <c r="T27" s="44">
        <v>-3070</v>
      </c>
      <c r="U27" s="44">
        <v>-3181</v>
      </c>
      <c r="V27" s="44">
        <v>-3188</v>
      </c>
      <c r="W27" s="44">
        <v>-3123</v>
      </c>
      <c r="X27" s="44">
        <v>-3189</v>
      </c>
      <c r="Y27" s="44">
        <v>-3227</v>
      </c>
      <c r="Z27" s="44">
        <v>-3232</v>
      </c>
      <c r="AA27" s="44">
        <v>-3224</v>
      </c>
      <c r="AB27" s="44">
        <v>-3417</v>
      </c>
      <c r="AC27" s="44">
        <v>-3179</v>
      </c>
      <c r="AD27" s="44">
        <v>-2937</v>
      </c>
      <c r="AE27" s="44">
        <v>-2901</v>
      </c>
      <c r="AF27" s="44">
        <v>-2874</v>
      </c>
      <c r="AG27" s="44">
        <v>-2969</v>
      </c>
      <c r="AH27" s="44">
        <v>-2945</v>
      </c>
      <c r="AI27" s="44">
        <v>-2897</v>
      </c>
      <c r="AJ27" s="44">
        <v>-2985</v>
      </c>
      <c r="AK27" s="44">
        <v>-3053</v>
      </c>
      <c r="AL27" s="44">
        <v>-3075</v>
      </c>
      <c r="AM27" s="44">
        <v>-2991</v>
      </c>
      <c r="AN27" s="44">
        <v>-2989</v>
      </c>
      <c r="AO27" s="182">
        <v>-3180</v>
      </c>
      <c r="AP27" s="182">
        <v>-3415</v>
      </c>
      <c r="AQ27" s="182">
        <v>-3388</v>
      </c>
      <c r="AR27" s="182">
        <v>-3338</v>
      </c>
      <c r="AS27" s="182">
        <f>-13585-SUM(AP27:AR27)</f>
        <v>-3444</v>
      </c>
      <c r="AT27" s="182">
        <v>-3442</v>
      </c>
      <c r="AU27" s="182">
        <v>-3443</v>
      </c>
      <c r="AV27" s="182">
        <v>-3367</v>
      </c>
      <c r="AW27" s="182">
        <v>-3454</v>
      </c>
      <c r="AX27" s="182">
        <v>-3369</v>
      </c>
      <c r="AY27" s="182">
        <v>-3418</v>
      </c>
      <c r="AZ27" s="182">
        <v>-3481</v>
      </c>
      <c r="BA27" s="182">
        <v>-3517</v>
      </c>
      <c r="BB27" s="182">
        <v>-3418</v>
      </c>
      <c r="BC27" s="182">
        <v>-3305</v>
      </c>
      <c r="BD27" s="182">
        <v>-3323</v>
      </c>
    </row>
    <row r="28" spans="1:56" ht="12.75">
      <c r="A28" s="25"/>
      <c r="B28" s="80" t="s">
        <v>116</v>
      </c>
      <c r="C28" s="80"/>
      <c r="D28" s="44">
        <v>-1272</v>
      </c>
      <c r="E28" s="44">
        <v>-633</v>
      </c>
      <c r="F28" s="44">
        <v>-751</v>
      </c>
      <c r="G28" s="44">
        <v>-326</v>
      </c>
      <c r="H28" s="44">
        <v>-503</v>
      </c>
      <c r="I28" s="44">
        <v>-661</v>
      </c>
      <c r="J28" s="44">
        <v>-2102</v>
      </c>
      <c r="K28" s="44">
        <v>-588</v>
      </c>
      <c r="L28" s="44">
        <v>-1822</v>
      </c>
      <c r="M28" s="44">
        <v>-891</v>
      </c>
      <c r="N28" s="44">
        <v>-1227</v>
      </c>
      <c r="O28" s="44">
        <v>-796</v>
      </c>
      <c r="P28" s="44">
        <v>-685</v>
      </c>
      <c r="Q28" s="44">
        <v>-636</v>
      </c>
      <c r="R28" s="44">
        <v>-503</v>
      </c>
      <c r="S28" s="44">
        <v>-586</v>
      </c>
      <c r="T28" s="44">
        <v>-713</v>
      </c>
      <c r="U28" s="44">
        <v>-827</v>
      </c>
      <c r="V28" s="44">
        <v>-563</v>
      </c>
      <c r="W28" s="44">
        <v>-364</v>
      </c>
      <c r="X28" s="44">
        <v>-565</v>
      </c>
      <c r="Y28" s="44">
        <v>-1243</v>
      </c>
      <c r="Z28" s="44">
        <v>-416</v>
      </c>
      <c r="AA28" s="44">
        <v>-567</v>
      </c>
      <c r="AB28" s="44">
        <v>-500</v>
      </c>
      <c r="AC28" s="44">
        <v>-699</v>
      </c>
      <c r="AD28" s="44">
        <v>-539</v>
      </c>
      <c r="AE28" s="44">
        <v>-586</v>
      </c>
      <c r="AF28" s="44">
        <v>-816</v>
      </c>
      <c r="AG28" s="44">
        <v>-630</v>
      </c>
      <c r="AH28" s="44">
        <v>-458</v>
      </c>
      <c r="AI28" s="44">
        <v>-512</v>
      </c>
      <c r="AJ28" s="44">
        <v>-433</v>
      </c>
      <c r="AK28" s="44">
        <v>-564</v>
      </c>
      <c r="AL28" s="44">
        <v>-404</v>
      </c>
      <c r="AM28" s="44">
        <v>-405</v>
      </c>
      <c r="AN28" s="44">
        <v>-414</v>
      </c>
      <c r="AO28" s="182">
        <v>-1317</v>
      </c>
      <c r="AP28" s="182">
        <v>-439</v>
      </c>
      <c r="AQ28" s="182">
        <v>-425</v>
      </c>
      <c r="AR28" s="182">
        <v>-387</v>
      </c>
      <c r="AS28" s="182">
        <f>-1716-SUM(AP28:AR28)</f>
        <v>-465</v>
      </c>
      <c r="AT28" s="182">
        <v>-383</v>
      </c>
      <c r="AU28" s="182">
        <v>-521</v>
      </c>
      <c r="AV28" s="182">
        <v>-399</v>
      </c>
      <c r="AW28" s="182">
        <v>-437</v>
      </c>
      <c r="AX28" s="182">
        <v>-455</v>
      </c>
      <c r="AY28" s="182">
        <v>-416</v>
      </c>
      <c r="AZ28" s="182">
        <v>-629</v>
      </c>
      <c r="BA28" s="182">
        <v>-564</v>
      </c>
      <c r="BB28" s="182">
        <v>-512</v>
      </c>
      <c r="BC28" s="182">
        <v>-768</v>
      </c>
      <c r="BD28" s="182">
        <v>-616</v>
      </c>
    </row>
    <row r="29" spans="1:48" ht="12.75">
      <c r="A29" s="25"/>
      <c r="B29" s="80" t="s">
        <v>117</v>
      </c>
      <c r="C29" s="80"/>
      <c r="D29" s="44">
        <v>0</v>
      </c>
      <c r="E29" s="44">
        <v>0</v>
      </c>
      <c r="F29" s="44">
        <v>0</v>
      </c>
      <c r="G29" s="44">
        <v>0</v>
      </c>
      <c r="H29" s="44">
        <v>0</v>
      </c>
      <c r="I29" s="44">
        <v>0</v>
      </c>
      <c r="J29" s="44">
        <v>0</v>
      </c>
      <c r="K29" s="44">
        <v>0</v>
      </c>
      <c r="L29" s="44">
        <v>0</v>
      </c>
      <c r="M29" s="44">
        <v>-2943</v>
      </c>
      <c r="N29" s="44">
        <v>0</v>
      </c>
      <c r="O29" s="44">
        <v>0</v>
      </c>
      <c r="P29" s="44">
        <v>0</v>
      </c>
      <c r="Q29" s="44">
        <v>0</v>
      </c>
      <c r="R29" s="44">
        <v>0</v>
      </c>
      <c r="S29" s="44">
        <v>0</v>
      </c>
      <c r="T29" s="44">
        <v>0</v>
      </c>
      <c r="U29" s="44">
        <v>0</v>
      </c>
      <c r="V29" s="44">
        <v>0</v>
      </c>
      <c r="W29" s="44">
        <v>0</v>
      </c>
      <c r="X29" s="44">
        <v>0</v>
      </c>
      <c r="Y29" s="44">
        <v>0</v>
      </c>
      <c r="Z29" s="44">
        <v>0</v>
      </c>
      <c r="AA29" s="44">
        <v>0</v>
      </c>
      <c r="AB29" s="44">
        <v>0</v>
      </c>
      <c r="AC29" s="44">
        <v>0</v>
      </c>
      <c r="AD29" s="44">
        <v>0</v>
      </c>
      <c r="AE29" s="44">
        <v>0</v>
      </c>
      <c r="AF29" s="44">
        <v>0</v>
      </c>
      <c r="AG29" s="44">
        <v>0</v>
      </c>
      <c r="AH29" s="44">
        <v>0</v>
      </c>
      <c r="AI29" s="44">
        <v>0</v>
      </c>
      <c r="AJ29" s="44">
        <v>0</v>
      </c>
      <c r="AK29" s="44">
        <v>0</v>
      </c>
      <c r="AL29" s="44">
        <v>0</v>
      </c>
      <c r="AM29" s="44">
        <v>0</v>
      </c>
      <c r="AN29" s="44">
        <v>0</v>
      </c>
      <c r="AO29" s="182">
        <v>0</v>
      </c>
      <c r="AP29" s="182">
        <v>0</v>
      </c>
      <c r="AQ29" s="182">
        <v>0</v>
      </c>
      <c r="AR29" s="182">
        <v>0</v>
      </c>
      <c r="AS29" s="182">
        <v>0</v>
      </c>
      <c r="AT29" s="182">
        <v>0</v>
      </c>
      <c r="AU29" s="182">
        <v>0</v>
      </c>
      <c r="AV29" s="182">
        <v>0</v>
      </c>
    </row>
    <row r="30" spans="1:56" ht="12.75">
      <c r="A30" s="25"/>
      <c r="B30" s="80" t="s">
        <v>118</v>
      </c>
      <c r="C30" s="80"/>
      <c r="D30" s="44">
        <v>-3087</v>
      </c>
      <c r="E30" s="44">
        <v>-2410</v>
      </c>
      <c r="F30" s="44">
        <v>-2655</v>
      </c>
      <c r="G30" s="44">
        <v>-4040</v>
      </c>
      <c r="H30" s="44">
        <v>-3761</v>
      </c>
      <c r="I30" s="44">
        <v>-4018</v>
      </c>
      <c r="J30" s="44">
        <v>-7691</v>
      </c>
      <c r="K30" s="44">
        <v>-9742</v>
      </c>
      <c r="L30" s="44">
        <v>-8919</v>
      </c>
      <c r="M30" s="44">
        <v>-10929</v>
      </c>
      <c r="N30" s="44">
        <v>-12706</v>
      </c>
      <c r="O30" s="44">
        <v>-13245</v>
      </c>
      <c r="P30" s="44">
        <v>-13373</v>
      </c>
      <c r="Q30" s="44">
        <v>-12654</v>
      </c>
      <c r="R30" s="44">
        <v>-10093</v>
      </c>
      <c r="S30" s="44">
        <v>-11018</v>
      </c>
      <c r="T30" s="44">
        <v>-10983</v>
      </c>
      <c r="U30" s="44">
        <v>-11657</v>
      </c>
      <c r="V30" s="44">
        <v>-11801</v>
      </c>
      <c r="W30" s="44">
        <v>-11166</v>
      </c>
      <c r="X30" s="44">
        <v>-12101</v>
      </c>
      <c r="Y30" s="44">
        <v>-10756</v>
      </c>
      <c r="Z30" s="44">
        <v>-13323</v>
      </c>
      <c r="AA30" s="44">
        <v>-9557</v>
      </c>
      <c r="AB30" s="44">
        <v>-13542</v>
      </c>
      <c r="AC30" s="44">
        <v>-7864</v>
      </c>
      <c r="AD30" s="44">
        <v>-6580</v>
      </c>
      <c r="AE30" s="44">
        <v>-4908</v>
      </c>
      <c r="AF30" s="44">
        <v>-5194</v>
      </c>
      <c r="AG30" s="44">
        <v>-5046</v>
      </c>
      <c r="AH30" s="44">
        <v>-5020</v>
      </c>
      <c r="AI30" s="44">
        <v>-4887</v>
      </c>
      <c r="AJ30" s="44">
        <v>-5053</v>
      </c>
      <c r="AK30" s="44">
        <v>-5802</v>
      </c>
      <c r="AL30" s="44">
        <v>-5053</v>
      </c>
      <c r="AM30" s="44">
        <v>-5369</v>
      </c>
      <c r="AN30" s="44">
        <v>-5459</v>
      </c>
      <c r="AO30" s="182">
        <v>-6187</v>
      </c>
      <c r="AP30" s="182">
        <v>-6128</v>
      </c>
      <c r="AQ30" s="182">
        <v>-6100</v>
      </c>
      <c r="AR30" s="182">
        <v>-5899</v>
      </c>
      <c r="AS30" s="182">
        <v>-6636</v>
      </c>
      <c r="AT30" s="182">
        <v>-5993</v>
      </c>
      <c r="AU30" s="182">
        <v>-6359</v>
      </c>
      <c r="AV30" s="182">
        <v>-6031</v>
      </c>
      <c r="AW30" s="182">
        <v>-6051</v>
      </c>
      <c r="AX30" s="182">
        <v>-5960</v>
      </c>
      <c r="AY30" s="182">
        <v>-6182</v>
      </c>
      <c r="AZ30" s="182">
        <v>-6433</v>
      </c>
      <c r="BA30" s="182">
        <v>-6108</v>
      </c>
      <c r="BB30" s="182">
        <v>-4700</v>
      </c>
      <c r="BC30" s="182">
        <v>-4641</v>
      </c>
      <c r="BD30" s="182">
        <v>-4752</v>
      </c>
    </row>
    <row r="31" spans="1:56" ht="12.75">
      <c r="A31" s="25"/>
      <c r="B31" s="80"/>
      <c r="C31" s="34"/>
      <c r="D31" s="47">
        <v>-3626</v>
      </c>
      <c r="E31" s="47">
        <v>-2912</v>
      </c>
      <c r="F31" s="47">
        <v>-3326</v>
      </c>
      <c r="G31" s="47">
        <v>-4387</v>
      </c>
      <c r="H31" s="47">
        <v>-4928</v>
      </c>
      <c r="I31" s="47">
        <v>-6024</v>
      </c>
      <c r="J31" s="47">
        <v>-13858</v>
      </c>
      <c r="K31" s="47">
        <v>-10723</v>
      </c>
      <c r="L31" s="47">
        <v>-13169</v>
      </c>
      <c r="M31" s="47">
        <v>-17209</v>
      </c>
      <c r="N31" s="47">
        <v>-17124</v>
      </c>
      <c r="O31" s="47">
        <v>-20354</v>
      </c>
      <c r="P31" s="47">
        <v>-16527</v>
      </c>
      <c r="Q31" s="47">
        <v>-16658</v>
      </c>
      <c r="R31" s="47">
        <v>-14286</v>
      </c>
      <c r="S31" s="47">
        <v>-15280</v>
      </c>
      <c r="T31" s="47">
        <v>-15323</v>
      </c>
      <c r="U31" s="47">
        <v>-15891</v>
      </c>
      <c r="V31" s="47">
        <v>-15461</v>
      </c>
      <c r="W31" s="47">
        <v>-14537</v>
      </c>
      <c r="X31" s="47">
        <f aca="true" t="shared" si="15" ref="X31:AC31">SUM(X25:X30)</f>
        <v>-15741</v>
      </c>
      <c r="Y31" s="47">
        <f t="shared" si="15"/>
        <v>-15095</v>
      </c>
      <c r="Z31" s="47">
        <f t="shared" si="15"/>
        <v>-16847</v>
      </c>
      <c r="AA31" s="47">
        <f t="shared" si="15"/>
        <v>-13163</v>
      </c>
      <c r="AB31" s="47">
        <f t="shared" si="15"/>
        <v>-17239</v>
      </c>
      <c r="AC31" s="47">
        <f t="shared" si="15"/>
        <v>-11577</v>
      </c>
      <c r="AD31" s="47">
        <f aca="true" t="shared" si="16" ref="AD31:AI31">SUM(AD25:AD30)</f>
        <v>-9648</v>
      </c>
      <c r="AE31" s="47">
        <f t="shared" si="16"/>
        <v>-8292</v>
      </c>
      <c r="AF31" s="47">
        <f t="shared" si="16"/>
        <v>-8789</v>
      </c>
      <c r="AG31" s="47">
        <f t="shared" si="16"/>
        <v>-8542</v>
      </c>
      <c r="AH31" s="47">
        <f t="shared" si="16"/>
        <v>-8353</v>
      </c>
      <c r="AI31" s="47">
        <f t="shared" si="16"/>
        <v>-8248</v>
      </c>
      <c r="AJ31" s="47">
        <f aca="true" t="shared" si="17" ref="AJ31:AP31">SUM(AJ25:AJ30)</f>
        <v>-8417</v>
      </c>
      <c r="AK31" s="47">
        <f t="shared" si="17"/>
        <v>-9353</v>
      </c>
      <c r="AL31" s="47">
        <f t="shared" si="17"/>
        <v>-8429</v>
      </c>
      <c r="AM31" s="47">
        <f t="shared" si="17"/>
        <v>-8706</v>
      </c>
      <c r="AN31" s="47">
        <f t="shared" si="17"/>
        <v>-8771</v>
      </c>
      <c r="AO31" s="184">
        <f t="shared" si="17"/>
        <v>-10531</v>
      </c>
      <c r="AP31" s="184">
        <f t="shared" si="17"/>
        <v>-9811</v>
      </c>
      <c r="AQ31" s="184">
        <f aca="true" t="shared" si="18" ref="AQ31:AV31">SUM(AQ25:AQ30)</f>
        <v>-9746</v>
      </c>
      <c r="AR31" s="184">
        <f t="shared" si="18"/>
        <v>-9453</v>
      </c>
      <c r="AS31" s="184">
        <f t="shared" si="18"/>
        <v>-10421</v>
      </c>
      <c r="AT31" s="184">
        <f t="shared" si="18"/>
        <v>-9684</v>
      </c>
      <c r="AU31" s="184">
        <f t="shared" si="18"/>
        <v>-10240</v>
      </c>
      <c r="AV31" s="184">
        <f t="shared" si="18"/>
        <v>-9676</v>
      </c>
      <c r="AW31" s="184">
        <f>SUM(AW25:AW30)</f>
        <v>-9779</v>
      </c>
      <c r="AX31" s="184">
        <f>SUM(AX25:AX30)</f>
        <v>-9691</v>
      </c>
      <c r="AY31" s="184">
        <f aca="true" t="shared" si="19" ref="AY31:BD31">SUM(AY24:AY30)</f>
        <v>-8621</v>
      </c>
      <c r="AZ31" s="184">
        <f t="shared" si="19"/>
        <v>-8863</v>
      </c>
      <c r="BA31" s="184">
        <f t="shared" si="19"/>
        <v>-7544</v>
      </c>
      <c r="BB31" s="184">
        <f t="shared" si="19"/>
        <v>-7017</v>
      </c>
      <c r="BC31" s="184">
        <f t="shared" si="19"/>
        <v>-7096</v>
      </c>
      <c r="BD31" s="184">
        <f t="shared" si="19"/>
        <v>-6918</v>
      </c>
    </row>
    <row r="32" spans="1:46" ht="12.75">
      <c r="A32" s="25"/>
      <c r="B32" s="27"/>
      <c r="D32" s="44"/>
      <c r="F32" s="44"/>
      <c r="G32" s="44"/>
      <c r="H32" s="44"/>
      <c r="I32" s="44"/>
      <c r="J32" s="44"/>
      <c r="K32" s="44"/>
      <c r="L32" s="44"/>
      <c r="M32" s="44"/>
      <c r="N32" s="44"/>
      <c r="O32" s="44"/>
      <c r="P32" s="44"/>
      <c r="Q32" s="44"/>
      <c r="R32" s="44"/>
      <c r="S32" s="44"/>
      <c r="T32" s="44"/>
      <c r="U32" s="44"/>
      <c r="V32" s="44"/>
      <c r="X32" s="148"/>
      <c r="AT32" s="80"/>
    </row>
    <row r="33" spans="1:56" ht="27" customHeight="1">
      <c r="A33" s="259" t="s">
        <v>276</v>
      </c>
      <c r="B33" s="259"/>
      <c r="C33" s="259"/>
      <c r="D33" s="45">
        <v>6133</v>
      </c>
      <c r="E33" s="45">
        <v>6400</v>
      </c>
      <c r="F33" s="45">
        <v>6360</v>
      </c>
      <c r="G33" s="45">
        <v>5842</v>
      </c>
      <c r="H33" s="45">
        <v>10194</v>
      </c>
      <c r="I33" s="45">
        <v>9432</v>
      </c>
      <c r="J33" s="45">
        <v>6756</v>
      </c>
      <c r="K33" s="45">
        <v>11360</v>
      </c>
      <c r="L33" s="45">
        <v>7640</v>
      </c>
      <c r="M33" s="45">
        <v>2299</v>
      </c>
      <c r="N33" s="45">
        <v>1435</v>
      </c>
      <c r="O33" s="45">
        <v>-1686</v>
      </c>
      <c r="P33" s="45">
        <v>546</v>
      </c>
      <c r="Q33" s="45">
        <v>3303</v>
      </c>
      <c r="R33" s="45">
        <v>9216</v>
      </c>
      <c r="S33" s="45">
        <v>8328</v>
      </c>
      <c r="T33" s="45">
        <v>7375</v>
      </c>
      <c r="U33" s="45">
        <v>7339</v>
      </c>
      <c r="V33" s="45">
        <v>7485</v>
      </c>
      <c r="W33" s="45">
        <v>9310</v>
      </c>
      <c r="X33" s="45">
        <f aca="true" t="shared" si="20" ref="X33:AC33">X22+X31</f>
        <v>9139</v>
      </c>
      <c r="Y33" s="45">
        <f t="shared" si="20"/>
        <v>9249</v>
      </c>
      <c r="Z33" s="45">
        <f t="shared" si="20"/>
        <v>7786</v>
      </c>
      <c r="AA33" s="45">
        <f t="shared" si="20"/>
        <v>11597</v>
      </c>
      <c r="AB33" s="45">
        <f t="shared" si="20"/>
        <v>9402</v>
      </c>
      <c r="AC33" s="45">
        <f t="shared" si="20"/>
        <v>14905</v>
      </c>
      <c r="AD33" s="45">
        <f aca="true" t="shared" si="21" ref="AD33:AI33">AD22+AD31</f>
        <v>13286</v>
      </c>
      <c r="AE33" s="45">
        <f t="shared" si="21"/>
        <v>14746</v>
      </c>
      <c r="AF33" s="45">
        <f t="shared" si="21"/>
        <v>14293</v>
      </c>
      <c r="AG33" s="45">
        <f t="shared" si="21"/>
        <v>13340</v>
      </c>
      <c r="AH33" s="45">
        <f t="shared" si="21"/>
        <v>13773</v>
      </c>
      <c r="AI33" s="45">
        <f t="shared" si="21"/>
        <v>13456</v>
      </c>
      <c r="AJ33" s="45">
        <f aca="true" t="shared" si="22" ref="AJ33:AO33">AJ22+AJ31</f>
        <v>14502</v>
      </c>
      <c r="AK33" s="45">
        <f t="shared" si="22"/>
        <v>14452</v>
      </c>
      <c r="AL33" s="45">
        <f t="shared" si="22"/>
        <v>17015</v>
      </c>
      <c r="AM33" s="45">
        <f t="shared" si="22"/>
        <v>16010</v>
      </c>
      <c r="AN33" s="45">
        <f t="shared" si="22"/>
        <v>15550</v>
      </c>
      <c r="AO33" s="183">
        <f t="shared" si="22"/>
        <v>16856</v>
      </c>
      <c r="AP33" s="183">
        <f aca="true" t="shared" si="23" ref="AP33:AU33">AP22+AP31</f>
        <v>19567</v>
      </c>
      <c r="AQ33" s="183">
        <f t="shared" si="23"/>
        <v>19090</v>
      </c>
      <c r="AR33" s="183">
        <f t="shared" si="23"/>
        <v>18658</v>
      </c>
      <c r="AS33" s="183">
        <f t="shared" si="23"/>
        <v>18868</v>
      </c>
      <c r="AT33" s="183">
        <f t="shared" si="23"/>
        <v>19528</v>
      </c>
      <c r="AU33" s="183">
        <f t="shared" si="23"/>
        <v>19780</v>
      </c>
      <c r="AV33" s="183">
        <f aca="true" t="shared" si="24" ref="AV33:BA33">AV22+AV31</f>
        <v>18200</v>
      </c>
      <c r="AW33" s="183">
        <f t="shared" si="24"/>
        <v>16956</v>
      </c>
      <c r="AX33" s="183">
        <f t="shared" si="24"/>
        <v>15167</v>
      </c>
      <c r="AY33" s="183">
        <f t="shared" si="24"/>
        <v>13811</v>
      </c>
      <c r="AZ33" s="183">
        <f t="shared" si="24"/>
        <v>11508</v>
      </c>
      <c r="BA33" s="183">
        <f t="shared" si="24"/>
        <v>14067</v>
      </c>
      <c r="BB33" s="183">
        <f>BB22+BB31</f>
        <v>14105</v>
      </c>
      <c r="BC33" s="183">
        <f>BC22+BC31</f>
        <v>12991</v>
      </c>
      <c r="BD33" s="183">
        <f>BD22+BD31</f>
        <v>12835</v>
      </c>
    </row>
    <row r="34" spans="2:46" ht="12.75">
      <c r="B34" s="34"/>
      <c r="C34" s="34"/>
      <c r="D34" s="46"/>
      <c r="F34" s="46"/>
      <c r="G34" s="46"/>
      <c r="H34" s="46"/>
      <c r="I34" s="46"/>
      <c r="J34" s="46"/>
      <c r="K34" s="46"/>
      <c r="L34" s="46"/>
      <c r="M34" s="46"/>
      <c r="N34" s="46"/>
      <c r="O34" s="46"/>
      <c r="P34" s="46"/>
      <c r="Q34" s="46"/>
      <c r="R34" s="46"/>
      <c r="S34" s="46"/>
      <c r="T34" s="46"/>
      <c r="U34" s="46"/>
      <c r="V34" s="46"/>
      <c r="X34" s="148"/>
      <c r="AT34" s="80"/>
    </row>
    <row r="35" spans="2:56" ht="12.75">
      <c r="B35" s="26" t="s">
        <v>119</v>
      </c>
      <c r="C35" s="34"/>
      <c r="D35" s="46">
        <v>0</v>
      </c>
      <c r="E35" s="46">
        <v>22</v>
      </c>
      <c r="F35" s="46">
        <v>201</v>
      </c>
      <c r="G35" s="46">
        <v>536</v>
      </c>
      <c r="H35" s="46">
        <v>208</v>
      </c>
      <c r="I35" s="46">
        <v>-46</v>
      </c>
      <c r="J35" s="46">
        <v>17</v>
      </c>
      <c r="K35" s="46">
        <v>-9915</v>
      </c>
      <c r="L35" s="46">
        <v>10462</v>
      </c>
      <c r="M35" s="46">
        <v>-5896</v>
      </c>
      <c r="N35" s="46">
        <v>-27030</v>
      </c>
      <c r="O35" s="46">
        <v>5696</v>
      </c>
      <c r="P35" s="46">
        <v>4103</v>
      </c>
      <c r="Q35" s="46">
        <v>-4159</v>
      </c>
      <c r="R35" s="46">
        <v>92</v>
      </c>
      <c r="S35" s="46">
        <v>591</v>
      </c>
      <c r="T35" s="46">
        <v>-384</v>
      </c>
      <c r="U35" s="46">
        <v>434</v>
      </c>
      <c r="V35" s="46">
        <v>193</v>
      </c>
      <c r="W35" s="46">
        <v>-113</v>
      </c>
      <c r="X35" s="46">
        <v>281</v>
      </c>
      <c r="Y35" s="46">
        <v>-1040</v>
      </c>
      <c r="Z35" s="46">
        <v>431</v>
      </c>
      <c r="AA35" s="46">
        <v>1422</v>
      </c>
      <c r="AB35" s="46">
        <v>-1380</v>
      </c>
      <c r="AC35" s="46">
        <v>435</v>
      </c>
      <c r="AD35" s="46">
        <v>-381</v>
      </c>
      <c r="AE35" s="46">
        <v>339</v>
      </c>
      <c r="AF35" s="46">
        <v>-1084</v>
      </c>
      <c r="AG35" s="46">
        <v>-147</v>
      </c>
      <c r="AH35" s="46">
        <v>-669</v>
      </c>
      <c r="AI35" s="46">
        <v>220</v>
      </c>
      <c r="AJ35" s="46">
        <v>417</v>
      </c>
      <c r="AK35" s="46">
        <v>-590</v>
      </c>
      <c r="AL35" s="46">
        <v>-1055</v>
      </c>
      <c r="AM35" s="46">
        <v>-404</v>
      </c>
      <c r="AN35" s="46">
        <v>-373</v>
      </c>
      <c r="AO35" s="186">
        <v>-714</v>
      </c>
      <c r="AP35" s="186">
        <v>246</v>
      </c>
      <c r="AQ35" s="186">
        <v>1153</v>
      </c>
      <c r="AR35" s="186">
        <v>-1520</v>
      </c>
      <c r="AS35" s="186">
        <v>2044</v>
      </c>
      <c r="AT35" s="186">
        <v>248</v>
      </c>
      <c r="AU35" s="186">
        <v>1250</v>
      </c>
      <c r="AV35" s="186">
        <v>-811</v>
      </c>
      <c r="AW35" s="186">
        <v>637</v>
      </c>
      <c r="AX35" s="186">
        <v>-1316</v>
      </c>
      <c r="AY35" s="186">
        <v>-1506</v>
      </c>
      <c r="AZ35" s="186">
        <v>719</v>
      </c>
      <c r="BA35" s="186">
        <v>-656</v>
      </c>
      <c r="BB35" s="186">
        <v>-1612</v>
      </c>
      <c r="BC35" s="186">
        <v>653</v>
      </c>
      <c r="BD35" s="186">
        <v>-3692</v>
      </c>
    </row>
    <row r="36" spans="2:56" ht="12.75">
      <c r="B36" s="26" t="s">
        <v>120</v>
      </c>
      <c r="C36" s="34"/>
      <c r="D36" s="46">
        <v>0</v>
      </c>
      <c r="E36" s="46">
        <v>0</v>
      </c>
      <c r="F36" s="46">
        <v>0</v>
      </c>
      <c r="G36" s="46">
        <v>0</v>
      </c>
      <c r="H36" s="46">
        <v>0</v>
      </c>
      <c r="I36" s="46">
        <v>0</v>
      </c>
      <c r="J36" s="46">
        <v>0</v>
      </c>
      <c r="K36" s="46">
        <v>-106</v>
      </c>
      <c r="L36" s="46">
        <v>3936</v>
      </c>
      <c r="M36" s="46">
        <v>1167</v>
      </c>
      <c r="N36" s="46">
        <v>2269</v>
      </c>
      <c r="O36" s="46">
        <v>-491</v>
      </c>
      <c r="P36" s="46">
        <v>-1283</v>
      </c>
      <c r="Q36" s="46">
        <v>-1603</v>
      </c>
      <c r="R36" s="46">
        <v>-1009</v>
      </c>
      <c r="S36" s="46">
        <v>-94</v>
      </c>
      <c r="T36" s="46">
        <v>216</v>
      </c>
      <c r="U36" s="46">
        <v>0</v>
      </c>
      <c r="V36" s="46">
        <v>-95</v>
      </c>
      <c r="W36" s="46">
        <v>29</v>
      </c>
      <c r="X36" s="46">
        <v>-25</v>
      </c>
      <c r="Y36" s="46">
        <v>86</v>
      </c>
      <c r="Z36" s="46">
        <v>-470</v>
      </c>
      <c r="AA36" s="46">
        <v>-143</v>
      </c>
      <c r="AB36" s="46">
        <v>28</v>
      </c>
      <c r="AC36" s="46">
        <v>-177</v>
      </c>
      <c r="AD36" s="46">
        <v>8</v>
      </c>
      <c r="AE36" s="46">
        <v>-388</v>
      </c>
      <c r="AF36" s="46">
        <v>318</v>
      </c>
      <c r="AG36" s="46">
        <v>353</v>
      </c>
      <c r="AH36" s="46">
        <v>101</v>
      </c>
      <c r="AI36" s="46">
        <v>75</v>
      </c>
      <c r="AJ36" s="46">
        <v>-67</v>
      </c>
      <c r="AK36" s="46">
        <v>8</v>
      </c>
      <c r="AL36" s="46">
        <v>297</v>
      </c>
      <c r="AM36" s="46">
        <v>13</v>
      </c>
      <c r="AN36" s="46">
        <v>73</v>
      </c>
      <c r="AO36" s="186">
        <v>312</v>
      </c>
      <c r="AP36" s="186">
        <v>11</v>
      </c>
      <c r="AQ36" s="186">
        <v>-125</v>
      </c>
      <c r="AR36" s="186">
        <v>130</v>
      </c>
      <c r="AS36" s="186">
        <v>-567</v>
      </c>
      <c r="AT36" s="186">
        <v>-185</v>
      </c>
      <c r="AU36" s="186">
        <v>-525</v>
      </c>
      <c r="AV36" s="186">
        <v>-179</v>
      </c>
      <c r="AW36" s="186">
        <v>-46</v>
      </c>
      <c r="AX36" s="186">
        <v>0</v>
      </c>
      <c r="AY36" s="186">
        <v>56</v>
      </c>
      <c r="AZ36" s="186">
        <v>14</v>
      </c>
      <c r="BA36" s="186">
        <v>-13</v>
      </c>
      <c r="BB36" s="186">
        <v>35</v>
      </c>
      <c r="BC36" s="186">
        <v>141</v>
      </c>
      <c r="BD36" s="186">
        <v>-3</v>
      </c>
    </row>
    <row r="37" spans="2:56" ht="12.75">
      <c r="B37" s="26" t="s">
        <v>275</v>
      </c>
      <c r="D37" s="46">
        <v>3999</v>
      </c>
      <c r="E37" s="46">
        <v>-2443</v>
      </c>
      <c r="F37" s="46">
        <v>323</v>
      </c>
      <c r="G37" s="46">
        <v>-3192</v>
      </c>
      <c r="H37" s="46">
        <v>6206</v>
      </c>
      <c r="I37" s="46">
        <v>1103</v>
      </c>
      <c r="J37" s="46">
        <v>-7516</v>
      </c>
      <c r="K37" s="46">
        <v>-15227</v>
      </c>
      <c r="L37" s="46">
        <v>13168</v>
      </c>
      <c r="M37" s="46">
        <v>-582</v>
      </c>
      <c r="N37" s="46">
        <v>-7321</v>
      </c>
      <c r="O37" s="46">
        <v>1492</v>
      </c>
      <c r="P37" s="46">
        <v>-1379</v>
      </c>
      <c r="Q37" s="46">
        <v>-917</v>
      </c>
      <c r="R37" s="46">
        <v>0</v>
      </c>
      <c r="S37" s="46">
        <v>323</v>
      </c>
      <c r="T37" s="46">
        <v>-5473</v>
      </c>
      <c r="U37" s="46">
        <v>-1209</v>
      </c>
      <c r="V37" s="46">
        <v>1200</v>
      </c>
      <c r="W37" s="46">
        <v>-709</v>
      </c>
      <c r="X37" s="46">
        <v>-614</v>
      </c>
      <c r="Y37" s="46">
        <v>-567</v>
      </c>
      <c r="Z37" s="46">
        <v>1467</v>
      </c>
      <c r="AA37" s="46">
        <v>1241</v>
      </c>
      <c r="AB37" s="46">
        <v>-2403</v>
      </c>
      <c r="AC37" s="46">
        <v>38</v>
      </c>
      <c r="AD37" s="46">
        <v>169</v>
      </c>
      <c r="AE37" s="46">
        <v>159</v>
      </c>
      <c r="AF37" s="46">
        <v>2992</v>
      </c>
      <c r="AG37" s="46">
        <v>-1274</v>
      </c>
      <c r="AH37" s="46">
        <v>893</v>
      </c>
      <c r="AI37" s="46">
        <v>361</v>
      </c>
      <c r="AJ37" s="46">
        <v>-199</v>
      </c>
      <c r="AK37" s="46">
        <v>1219</v>
      </c>
      <c r="AL37" s="46">
        <v>319</v>
      </c>
      <c r="AM37" s="46">
        <v>422</v>
      </c>
      <c r="AN37" s="46">
        <v>-39</v>
      </c>
      <c r="AO37" s="186">
        <v>327</v>
      </c>
      <c r="AP37" s="186">
        <v>-769</v>
      </c>
      <c r="AQ37" s="186">
        <v>110</v>
      </c>
      <c r="AR37" s="186">
        <v>641</v>
      </c>
      <c r="AS37" s="186">
        <v>-767</v>
      </c>
      <c r="AT37" s="186">
        <v>87</v>
      </c>
      <c r="AU37" s="186">
        <v>-270</v>
      </c>
      <c r="AV37" s="186">
        <v>322</v>
      </c>
      <c r="AW37" s="186">
        <v>58</v>
      </c>
      <c r="AX37" s="186">
        <v>327</v>
      </c>
      <c r="AY37" s="186">
        <v>-344</v>
      </c>
      <c r="AZ37" s="186">
        <v>-13</v>
      </c>
      <c r="BA37" s="186">
        <v>-32</v>
      </c>
      <c r="BB37" s="186">
        <v>186</v>
      </c>
      <c r="BC37" s="186">
        <v>-108</v>
      </c>
      <c r="BD37" s="186">
        <v>35</v>
      </c>
    </row>
    <row r="38" spans="2:46" ht="12.75">
      <c r="B38" s="26" t="s">
        <v>32</v>
      </c>
      <c r="D38" s="46">
        <v>0</v>
      </c>
      <c r="E38" s="46">
        <v>0</v>
      </c>
      <c r="F38" s="46">
        <v>3913</v>
      </c>
      <c r="G38" s="46">
        <v>689</v>
      </c>
      <c r="H38" s="46">
        <v>11625</v>
      </c>
      <c r="I38" s="46">
        <v>1026</v>
      </c>
      <c r="J38" s="46">
        <v>5323</v>
      </c>
      <c r="K38" s="46">
        <v>-139</v>
      </c>
      <c r="L38" s="46">
        <v>-16059</v>
      </c>
      <c r="M38" s="46">
        <v>-1787</v>
      </c>
      <c r="N38" s="46">
        <v>-19387</v>
      </c>
      <c r="O38" s="41">
        <v>0</v>
      </c>
      <c r="P38" s="41">
        <v>0</v>
      </c>
      <c r="Q38" s="46">
        <v>0</v>
      </c>
      <c r="R38" s="46">
        <v>0</v>
      </c>
      <c r="S38" s="46">
        <v>0</v>
      </c>
      <c r="T38" s="46">
        <v>2683</v>
      </c>
      <c r="U38" s="46">
        <v>1096</v>
      </c>
      <c r="V38" s="46">
        <v>2644</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186">
        <v>0</v>
      </c>
      <c r="AP38" s="186">
        <v>0</v>
      </c>
      <c r="AQ38" s="186">
        <v>0</v>
      </c>
      <c r="AR38" s="186">
        <v>0</v>
      </c>
      <c r="AS38" s="186"/>
      <c r="AT38" s="80"/>
    </row>
    <row r="39" spans="2:56" ht="12.75">
      <c r="B39" s="26" t="s">
        <v>274</v>
      </c>
      <c r="D39" s="44">
        <v>-9290</v>
      </c>
      <c r="E39" s="46">
        <v>-2940</v>
      </c>
      <c r="F39" s="44">
        <v>125399</v>
      </c>
      <c r="G39" s="46">
        <v>0</v>
      </c>
      <c r="H39" s="46">
        <v>155415</v>
      </c>
      <c r="I39" s="46">
        <v>-4132</v>
      </c>
      <c r="J39" s="46">
        <v>120649</v>
      </c>
      <c r="K39" s="46">
        <v>0</v>
      </c>
      <c r="L39" s="46">
        <v>-29704</v>
      </c>
      <c r="M39" s="46">
        <v>-83543</v>
      </c>
      <c r="N39" s="46">
        <v>-51386</v>
      </c>
      <c r="O39" s="46">
        <v>-143685</v>
      </c>
      <c r="P39" s="46">
        <v>-1208</v>
      </c>
      <c r="Q39" s="46">
        <v>-29940</v>
      </c>
      <c r="R39" s="46">
        <v>-4354</v>
      </c>
      <c r="S39" s="46">
        <v>-953</v>
      </c>
      <c r="T39" s="46">
        <v>-530</v>
      </c>
      <c r="U39" s="46">
        <v>30094</v>
      </c>
      <c r="V39" s="46">
        <v>51</v>
      </c>
      <c r="W39" s="46">
        <v>-774</v>
      </c>
      <c r="X39" s="46">
        <v>-1157</v>
      </c>
      <c r="Y39" s="46">
        <v>19039</v>
      </c>
      <c r="Z39" s="46">
        <v>-553</v>
      </c>
      <c r="AA39" s="46">
        <v>-377</v>
      </c>
      <c r="AB39" s="46">
        <v>4497</v>
      </c>
      <c r="AC39" s="46">
        <v>64420</v>
      </c>
      <c r="AD39" s="46">
        <v>-2039</v>
      </c>
      <c r="AE39" s="46">
        <v>-2076</v>
      </c>
      <c r="AF39" s="46">
        <v>-1119</v>
      </c>
      <c r="AG39" s="46">
        <v>100466</v>
      </c>
      <c r="AH39" s="46">
        <v>-439</v>
      </c>
      <c r="AI39" s="46">
        <v>-763</v>
      </c>
      <c r="AJ39" s="46">
        <v>-812</v>
      </c>
      <c r="AK39" s="46">
        <v>29434</v>
      </c>
      <c r="AL39" s="46">
        <v>-87</v>
      </c>
      <c r="AM39" s="46">
        <v>-525</v>
      </c>
      <c r="AN39" s="46">
        <v>-397</v>
      </c>
      <c r="AO39" s="186">
        <v>6396</v>
      </c>
      <c r="AP39" s="186">
        <v>-141</v>
      </c>
      <c r="AQ39" s="186">
        <v>-1133</v>
      </c>
      <c r="AR39" s="186">
        <v>-588</v>
      </c>
      <c r="AS39" s="186">
        <v>1172</v>
      </c>
      <c r="AT39" s="186">
        <v>281</v>
      </c>
      <c r="AU39" s="186">
        <v>69</v>
      </c>
      <c r="AV39" s="186">
        <v>178</v>
      </c>
      <c r="AW39" s="186">
        <v>59538</v>
      </c>
      <c r="AX39" s="186">
        <v>48</v>
      </c>
      <c r="AY39" s="186">
        <v>-396</v>
      </c>
      <c r="AZ39" s="186">
        <v>-362</v>
      </c>
      <c r="BA39" s="186">
        <v>21610</v>
      </c>
      <c r="BB39" s="186">
        <v>598</v>
      </c>
      <c r="BC39" s="186">
        <v>109</v>
      </c>
      <c r="BD39" s="186">
        <v>132</v>
      </c>
    </row>
    <row r="40" spans="2:46" ht="12.75">
      <c r="B40" s="26" t="s">
        <v>132</v>
      </c>
      <c r="D40" s="44">
        <v>0</v>
      </c>
      <c r="E40" s="44">
        <v>0</v>
      </c>
      <c r="F40" s="44">
        <v>0</v>
      </c>
      <c r="G40" s="44">
        <v>0</v>
      </c>
      <c r="H40" s="44">
        <v>0</v>
      </c>
      <c r="I40" s="44">
        <v>0</v>
      </c>
      <c r="J40" s="44">
        <v>0</v>
      </c>
      <c r="K40" s="44">
        <v>0</v>
      </c>
      <c r="L40" s="44">
        <v>0</v>
      </c>
      <c r="M40" s="44">
        <v>0</v>
      </c>
      <c r="N40" s="44">
        <v>0</v>
      </c>
      <c r="O40" s="44">
        <v>0</v>
      </c>
      <c r="P40" s="44">
        <v>0</v>
      </c>
      <c r="Q40" s="44">
        <v>0</v>
      </c>
      <c r="R40" s="44">
        <v>0</v>
      </c>
      <c r="S40" s="44">
        <v>0</v>
      </c>
      <c r="T40" s="44">
        <v>0</v>
      </c>
      <c r="U40" s="44">
        <v>0</v>
      </c>
      <c r="V40" s="44">
        <v>0</v>
      </c>
      <c r="W40" s="46">
        <v>861</v>
      </c>
      <c r="X40" s="46">
        <v>0</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186">
        <v>0</v>
      </c>
      <c r="AP40" s="186">
        <v>0</v>
      </c>
      <c r="AQ40" s="186">
        <v>0</v>
      </c>
      <c r="AR40" s="186">
        <v>0</v>
      </c>
      <c r="AS40" s="186">
        <v>0</v>
      </c>
      <c r="AT40" s="80"/>
    </row>
    <row r="41" spans="2:56" ht="12.75">
      <c r="B41" s="26" t="s">
        <v>148</v>
      </c>
      <c r="D41" s="44"/>
      <c r="E41" s="44"/>
      <c r="F41" s="44"/>
      <c r="G41" s="44"/>
      <c r="H41" s="44"/>
      <c r="I41" s="44"/>
      <c r="J41" s="44"/>
      <c r="K41" s="44">
        <v>0</v>
      </c>
      <c r="L41" s="44">
        <v>0</v>
      </c>
      <c r="M41" s="44">
        <v>0</v>
      </c>
      <c r="N41" s="44">
        <v>0</v>
      </c>
      <c r="O41" s="44">
        <v>0</v>
      </c>
      <c r="P41" s="44">
        <v>0</v>
      </c>
      <c r="Q41" s="44">
        <v>0</v>
      </c>
      <c r="R41" s="44">
        <v>0</v>
      </c>
      <c r="S41" s="44">
        <v>0</v>
      </c>
      <c r="T41" s="44">
        <v>0</v>
      </c>
      <c r="U41" s="44">
        <v>0</v>
      </c>
      <c r="V41" s="44">
        <v>0</v>
      </c>
      <c r="W41" s="46">
        <v>0</v>
      </c>
      <c r="X41" s="46">
        <v>0</v>
      </c>
      <c r="Y41" s="46">
        <v>0</v>
      </c>
      <c r="Z41" s="46">
        <v>0</v>
      </c>
      <c r="AA41" s="46">
        <v>0</v>
      </c>
      <c r="AB41" s="46">
        <v>0</v>
      </c>
      <c r="AC41" s="46">
        <v>72800</v>
      </c>
      <c r="AD41" s="46">
        <v>0</v>
      </c>
      <c r="AE41" s="46">
        <v>0</v>
      </c>
      <c r="AF41" s="46">
        <v>0</v>
      </c>
      <c r="AG41" s="46">
        <v>0</v>
      </c>
      <c r="AH41" s="46">
        <v>0</v>
      </c>
      <c r="AI41" s="46">
        <v>0</v>
      </c>
      <c r="AJ41" s="46">
        <v>0</v>
      </c>
      <c r="AK41" s="46">
        <v>0</v>
      </c>
      <c r="AL41" s="46">
        <v>0</v>
      </c>
      <c r="AM41" s="46">
        <v>0</v>
      </c>
      <c r="AN41" s="46">
        <v>0</v>
      </c>
      <c r="AO41" s="186">
        <v>0</v>
      </c>
      <c r="AP41" s="186">
        <v>0</v>
      </c>
      <c r="AQ41" s="186">
        <v>0</v>
      </c>
      <c r="AR41" s="186">
        <v>0</v>
      </c>
      <c r="AS41" s="186">
        <v>0</v>
      </c>
      <c r="AT41" s="80"/>
      <c r="BA41" s="186">
        <v>75724</v>
      </c>
      <c r="BB41" s="186"/>
      <c r="BC41" s="186"/>
      <c r="BD41" s="186"/>
    </row>
    <row r="42" spans="2:46" ht="12.75">
      <c r="B42" s="26" t="s">
        <v>133</v>
      </c>
      <c r="D42" s="44">
        <v>0</v>
      </c>
      <c r="E42" s="44">
        <v>0</v>
      </c>
      <c r="F42" s="44">
        <v>0</v>
      </c>
      <c r="G42" s="44">
        <v>0</v>
      </c>
      <c r="H42" s="44">
        <v>0</v>
      </c>
      <c r="I42" s="44">
        <v>0</v>
      </c>
      <c r="J42" s="44">
        <v>0</v>
      </c>
      <c r="K42" s="44">
        <v>0</v>
      </c>
      <c r="L42" s="44">
        <v>0</v>
      </c>
      <c r="M42" s="44">
        <v>0</v>
      </c>
      <c r="N42" s="44">
        <v>0</v>
      </c>
      <c r="O42" s="44">
        <v>0</v>
      </c>
      <c r="P42" s="44">
        <v>0</v>
      </c>
      <c r="Q42" s="44">
        <v>0</v>
      </c>
      <c r="R42" s="44">
        <v>0</v>
      </c>
      <c r="S42" s="44">
        <v>0</v>
      </c>
      <c r="T42" s="44">
        <v>0</v>
      </c>
      <c r="U42" s="44">
        <v>0</v>
      </c>
      <c r="V42" s="44">
        <v>0</v>
      </c>
      <c r="W42" s="46">
        <v>16423</v>
      </c>
      <c r="X42" s="46">
        <v>-3620</v>
      </c>
      <c r="Y42" s="44">
        <v>0</v>
      </c>
      <c r="Z42" s="46">
        <v>0</v>
      </c>
      <c r="AA42" s="46">
        <v>0</v>
      </c>
      <c r="AB42" s="46">
        <v>0</v>
      </c>
      <c r="AC42" s="46">
        <v>0</v>
      </c>
      <c r="AD42" s="46">
        <v>18155</v>
      </c>
      <c r="AE42" s="46">
        <v>0</v>
      </c>
      <c r="AF42" s="46">
        <v>0</v>
      </c>
      <c r="AG42" s="46">
        <v>0</v>
      </c>
      <c r="AH42" s="46">
        <v>0</v>
      </c>
      <c r="AI42" s="46">
        <v>0</v>
      </c>
      <c r="AJ42" s="46">
        <v>0</v>
      </c>
      <c r="AK42" s="46">
        <v>0</v>
      </c>
      <c r="AL42" s="46">
        <v>0</v>
      </c>
      <c r="AM42" s="46">
        <v>0</v>
      </c>
      <c r="AN42" s="46">
        <v>0</v>
      </c>
      <c r="AO42" s="186">
        <v>0</v>
      </c>
      <c r="AP42" s="186">
        <v>0</v>
      </c>
      <c r="AQ42" s="186">
        <v>0</v>
      </c>
      <c r="AR42" s="186">
        <v>0</v>
      </c>
      <c r="AS42" s="186">
        <v>0</v>
      </c>
      <c r="AT42" s="80"/>
    </row>
    <row r="43" spans="2:56" ht="12.75">
      <c r="B43" s="34"/>
      <c r="C43" s="34"/>
      <c r="D43" s="51">
        <v>842</v>
      </c>
      <c r="E43" s="51">
        <v>1039</v>
      </c>
      <c r="F43" s="51">
        <v>136196</v>
      </c>
      <c r="G43" s="51">
        <v>3875</v>
      </c>
      <c r="H43" s="51">
        <v>183648</v>
      </c>
      <c r="I43" s="51">
        <v>7383</v>
      </c>
      <c r="J43" s="51">
        <v>125229</v>
      </c>
      <c r="K43" s="51">
        <v>-14027</v>
      </c>
      <c r="L43" s="51">
        <v>-10557</v>
      </c>
      <c r="M43" s="51">
        <v>-88342</v>
      </c>
      <c r="N43" s="51">
        <v>-101420</v>
      </c>
      <c r="O43" s="51">
        <v>-138674</v>
      </c>
      <c r="P43" s="51">
        <v>779</v>
      </c>
      <c r="Q43" s="51">
        <v>-33316</v>
      </c>
      <c r="R43" s="51">
        <v>3945</v>
      </c>
      <c r="S43" s="51">
        <v>8195</v>
      </c>
      <c r="T43" s="51">
        <v>3887</v>
      </c>
      <c r="U43" s="51">
        <v>37754</v>
      </c>
      <c r="V43" s="51">
        <v>11478</v>
      </c>
      <c r="W43" s="51">
        <v>25027</v>
      </c>
      <c r="X43" s="51">
        <f aca="true" t="shared" si="25" ref="X43:AC43">SUM(X35:X42)</f>
        <v>-5135</v>
      </c>
      <c r="Y43" s="51">
        <f t="shared" si="25"/>
        <v>17518</v>
      </c>
      <c r="Z43" s="51">
        <f t="shared" si="25"/>
        <v>875</v>
      </c>
      <c r="AA43" s="51">
        <f t="shared" si="25"/>
        <v>2143</v>
      </c>
      <c r="AB43" s="51">
        <f t="shared" si="25"/>
        <v>742</v>
      </c>
      <c r="AC43" s="51">
        <f t="shared" si="25"/>
        <v>137516</v>
      </c>
      <c r="AD43" s="51">
        <f aca="true" t="shared" si="26" ref="AD43:AI43">SUM(AD35:AD42)</f>
        <v>15912</v>
      </c>
      <c r="AE43" s="51">
        <f t="shared" si="26"/>
        <v>-1966</v>
      </c>
      <c r="AF43" s="51">
        <f t="shared" si="26"/>
        <v>1107</v>
      </c>
      <c r="AG43" s="51">
        <f t="shared" si="26"/>
        <v>99398</v>
      </c>
      <c r="AH43" s="51">
        <f t="shared" si="26"/>
        <v>-114</v>
      </c>
      <c r="AI43" s="51">
        <f t="shared" si="26"/>
        <v>-107</v>
      </c>
      <c r="AJ43" s="51">
        <f aca="true" t="shared" si="27" ref="AJ43:AP43">SUM(AJ35:AJ42)</f>
        <v>-661</v>
      </c>
      <c r="AK43" s="51">
        <f t="shared" si="27"/>
        <v>30071</v>
      </c>
      <c r="AL43" s="51">
        <f t="shared" si="27"/>
        <v>-526</v>
      </c>
      <c r="AM43" s="51">
        <f t="shared" si="27"/>
        <v>-494</v>
      </c>
      <c r="AN43" s="51">
        <f t="shared" si="27"/>
        <v>-736</v>
      </c>
      <c r="AO43" s="185">
        <f t="shared" si="27"/>
        <v>6321</v>
      </c>
      <c r="AP43" s="185">
        <f t="shared" si="27"/>
        <v>-653</v>
      </c>
      <c r="AQ43" s="185">
        <f aca="true" t="shared" si="28" ref="AQ43:AW43">SUM(AQ35:AQ42)</f>
        <v>5</v>
      </c>
      <c r="AR43" s="185">
        <f t="shared" si="28"/>
        <v>-1337</v>
      </c>
      <c r="AS43" s="185">
        <f t="shared" si="28"/>
        <v>1882</v>
      </c>
      <c r="AT43" s="185">
        <f t="shared" si="28"/>
        <v>431</v>
      </c>
      <c r="AU43" s="185">
        <f t="shared" si="28"/>
        <v>524</v>
      </c>
      <c r="AV43" s="185">
        <f t="shared" si="28"/>
        <v>-490</v>
      </c>
      <c r="AW43" s="185">
        <f t="shared" si="28"/>
        <v>60187</v>
      </c>
      <c r="AX43" s="185">
        <f aca="true" t="shared" si="29" ref="AX43:BC43">SUM(AX35:AX42)</f>
        <v>-941</v>
      </c>
      <c r="AY43" s="185">
        <f t="shared" si="29"/>
        <v>-2190</v>
      </c>
      <c r="AZ43" s="185">
        <f t="shared" si="29"/>
        <v>358</v>
      </c>
      <c r="BA43" s="185">
        <f t="shared" si="29"/>
        <v>96633</v>
      </c>
      <c r="BB43" s="185">
        <f t="shared" si="29"/>
        <v>-793</v>
      </c>
      <c r="BC43" s="185">
        <f t="shared" si="29"/>
        <v>795</v>
      </c>
      <c r="BD43" s="185">
        <f>SUM(BD35:BD42)</f>
        <v>-3528</v>
      </c>
    </row>
    <row r="44" spans="2:46" ht="12.75">
      <c r="B44" s="34"/>
      <c r="C44" s="34"/>
      <c r="D44" s="43"/>
      <c r="F44" s="43"/>
      <c r="G44" s="43"/>
      <c r="H44" s="43"/>
      <c r="I44" s="43"/>
      <c r="J44" s="43"/>
      <c r="K44" s="46"/>
      <c r="L44" s="46"/>
      <c r="M44" s="46"/>
      <c r="N44" s="46"/>
      <c r="O44" s="46"/>
      <c r="P44" s="46"/>
      <c r="Q44" s="46"/>
      <c r="R44" s="46"/>
      <c r="S44" s="46"/>
      <c r="T44" s="46"/>
      <c r="U44" s="46"/>
      <c r="V44" s="46"/>
      <c r="X44" s="148"/>
      <c r="AT44" s="80"/>
    </row>
    <row r="45" spans="2:56" ht="12.75">
      <c r="B45" s="26" t="s">
        <v>224</v>
      </c>
      <c r="D45" s="46">
        <v>842</v>
      </c>
      <c r="E45" s="46">
        <v>1039</v>
      </c>
      <c r="F45" s="46">
        <v>136196</v>
      </c>
      <c r="G45" s="46">
        <v>3875</v>
      </c>
      <c r="H45" s="46">
        <v>183648</v>
      </c>
      <c r="I45" s="46">
        <v>7383</v>
      </c>
      <c r="J45" s="46">
        <v>125229</v>
      </c>
      <c r="K45" s="46">
        <v>-14027</v>
      </c>
      <c r="L45" s="46">
        <v>-10557</v>
      </c>
      <c r="M45" s="46">
        <v>-88342</v>
      </c>
      <c r="N45" s="46">
        <v>-101420</v>
      </c>
      <c r="O45" s="46">
        <v>-138674</v>
      </c>
      <c r="P45" s="46">
        <v>779</v>
      </c>
      <c r="Q45" s="46">
        <v>-33316</v>
      </c>
      <c r="R45" s="46">
        <v>3945</v>
      </c>
      <c r="S45" s="46">
        <v>8195</v>
      </c>
      <c r="T45" s="46">
        <v>3887</v>
      </c>
      <c r="U45" s="46">
        <v>37754</v>
      </c>
      <c r="V45" s="46">
        <v>11478</v>
      </c>
      <c r="W45" s="46">
        <v>25027</v>
      </c>
      <c r="X45" s="46">
        <f aca="true" t="shared" si="30" ref="X45:AC45">X33+X43</f>
        <v>4004</v>
      </c>
      <c r="Y45" s="46">
        <f t="shared" si="30"/>
        <v>26767</v>
      </c>
      <c r="Z45" s="46">
        <f t="shared" si="30"/>
        <v>8661</v>
      </c>
      <c r="AA45" s="46">
        <f t="shared" si="30"/>
        <v>13740</v>
      </c>
      <c r="AB45" s="46">
        <f t="shared" si="30"/>
        <v>10144</v>
      </c>
      <c r="AC45" s="46">
        <f t="shared" si="30"/>
        <v>152421</v>
      </c>
      <c r="AD45" s="46">
        <f aca="true" t="shared" si="31" ref="AD45:AI45">AD33+AD43</f>
        <v>29198</v>
      </c>
      <c r="AE45" s="46">
        <f t="shared" si="31"/>
        <v>12780</v>
      </c>
      <c r="AF45" s="46">
        <f t="shared" si="31"/>
        <v>15400</v>
      </c>
      <c r="AG45" s="46">
        <f t="shared" si="31"/>
        <v>112738</v>
      </c>
      <c r="AH45" s="46">
        <f t="shared" si="31"/>
        <v>13659</v>
      </c>
      <c r="AI45" s="46">
        <f t="shared" si="31"/>
        <v>13349</v>
      </c>
      <c r="AJ45" s="46">
        <f aca="true" t="shared" si="32" ref="AJ45:AO45">AJ33+AJ43</f>
        <v>13841</v>
      </c>
      <c r="AK45" s="46">
        <f t="shared" si="32"/>
        <v>44523</v>
      </c>
      <c r="AL45" s="46">
        <f t="shared" si="32"/>
        <v>16489</v>
      </c>
      <c r="AM45" s="46">
        <f t="shared" si="32"/>
        <v>15516</v>
      </c>
      <c r="AN45" s="46">
        <f t="shared" si="32"/>
        <v>14814</v>
      </c>
      <c r="AO45" s="186">
        <f t="shared" si="32"/>
        <v>23177</v>
      </c>
      <c r="AP45" s="186">
        <f aca="true" t="shared" si="33" ref="AP45:AU45">AP33+AP43</f>
        <v>18914</v>
      </c>
      <c r="AQ45" s="186">
        <f t="shared" si="33"/>
        <v>19095</v>
      </c>
      <c r="AR45" s="186">
        <f t="shared" si="33"/>
        <v>17321</v>
      </c>
      <c r="AS45" s="186">
        <f t="shared" si="33"/>
        <v>20750</v>
      </c>
      <c r="AT45" s="186">
        <f t="shared" si="33"/>
        <v>19959</v>
      </c>
      <c r="AU45" s="186">
        <f t="shared" si="33"/>
        <v>20304</v>
      </c>
      <c r="AV45" s="186">
        <f aca="true" t="shared" si="34" ref="AV45:BA45">AV33+AV43</f>
        <v>17710</v>
      </c>
      <c r="AW45" s="186">
        <f t="shared" si="34"/>
        <v>77143</v>
      </c>
      <c r="AX45" s="186">
        <f t="shared" si="34"/>
        <v>14226</v>
      </c>
      <c r="AY45" s="186">
        <f t="shared" si="34"/>
        <v>11621</v>
      </c>
      <c r="AZ45" s="186">
        <f t="shared" si="34"/>
        <v>11866</v>
      </c>
      <c r="BA45" s="186">
        <f t="shared" si="34"/>
        <v>110700</v>
      </c>
      <c r="BB45" s="186">
        <f>BB33+BB43</f>
        <v>13312</v>
      </c>
      <c r="BC45" s="186">
        <f>BC33+BC43</f>
        <v>13786</v>
      </c>
      <c r="BD45" s="186">
        <f>BD33+BD43</f>
        <v>9307</v>
      </c>
    </row>
    <row r="46" spans="2:56" ht="12.75">
      <c r="B46" s="26" t="s">
        <v>98</v>
      </c>
      <c r="D46" s="46">
        <v>-924</v>
      </c>
      <c r="E46" s="46">
        <v>-508</v>
      </c>
      <c r="F46" s="46">
        <v>-30584</v>
      </c>
      <c r="G46" s="46">
        <v>-374</v>
      </c>
      <c r="H46" s="46">
        <v>-21492</v>
      </c>
      <c r="I46" s="46">
        <v>-286</v>
      </c>
      <c r="J46" s="46">
        <v>-8937</v>
      </c>
      <c r="K46" s="46">
        <v>-425</v>
      </c>
      <c r="L46" s="46">
        <v>109</v>
      </c>
      <c r="M46" s="46">
        <v>12419</v>
      </c>
      <c r="N46" s="46">
        <v>-136</v>
      </c>
      <c r="O46" s="46">
        <v>148</v>
      </c>
      <c r="P46" s="46">
        <v>322</v>
      </c>
      <c r="Q46" s="46">
        <v>431</v>
      </c>
      <c r="R46" s="46">
        <v>-370</v>
      </c>
      <c r="S46" s="46">
        <v>-895</v>
      </c>
      <c r="T46" s="46">
        <v>-324</v>
      </c>
      <c r="U46" s="46">
        <v>-2055</v>
      </c>
      <c r="V46" s="46">
        <v>-611</v>
      </c>
      <c r="W46" s="46">
        <v>-612</v>
      </c>
      <c r="X46" s="46">
        <v>-587</v>
      </c>
      <c r="Y46" s="46">
        <v>-556</v>
      </c>
      <c r="Z46" s="46">
        <v>-461</v>
      </c>
      <c r="AA46" s="46">
        <v>-722</v>
      </c>
      <c r="AB46" s="46">
        <v>-535</v>
      </c>
      <c r="AC46" s="46">
        <v>-14286</v>
      </c>
      <c r="AD46" s="46">
        <v>-435</v>
      </c>
      <c r="AE46" s="46">
        <v>-429</v>
      </c>
      <c r="AF46" s="46">
        <v>-418</v>
      </c>
      <c r="AG46" s="46">
        <v>-7066</v>
      </c>
      <c r="AH46" s="46">
        <v>-1350</v>
      </c>
      <c r="AI46" s="46">
        <v>-729</v>
      </c>
      <c r="AJ46" s="46">
        <v>-739</v>
      </c>
      <c r="AK46" s="46">
        <v>4671</v>
      </c>
      <c r="AL46" s="46">
        <v>-1116</v>
      </c>
      <c r="AM46" s="46">
        <v>-1017</v>
      </c>
      <c r="AN46" s="46">
        <v>-808</v>
      </c>
      <c r="AO46" s="186">
        <v>8143</v>
      </c>
      <c r="AP46" s="186">
        <v>-1214</v>
      </c>
      <c r="AQ46" s="186">
        <v>-1054</v>
      </c>
      <c r="AR46" s="186">
        <v>-1009</v>
      </c>
      <c r="AS46" s="186">
        <v>-1562</v>
      </c>
      <c r="AT46" s="186">
        <v>-1223</v>
      </c>
      <c r="AU46" s="186">
        <v>-1080</v>
      </c>
      <c r="AV46" s="186">
        <v>-1349</v>
      </c>
      <c r="AW46" s="186">
        <v>-20020</v>
      </c>
      <c r="AX46" s="186">
        <v>-1024</v>
      </c>
      <c r="AY46" s="186">
        <v>-288</v>
      </c>
      <c r="AZ46" s="186">
        <v>-1379</v>
      </c>
      <c r="BA46" s="186">
        <v>-4004</v>
      </c>
      <c r="BB46" s="186">
        <v>742</v>
      </c>
      <c r="BC46" s="186">
        <v>-168</v>
      </c>
      <c r="BD46" s="186">
        <v>2230</v>
      </c>
    </row>
    <row r="47" spans="1:56" ht="12.75">
      <c r="A47" s="34" t="s">
        <v>17</v>
      </c>
      <c r="B47" s="34"/>
      <c r="C47" s="34"/>
      <c r="D47" s="51">
        <v>-82</v>
      </c>
      <c r="E47" s="51">
        <v>531</v>
      </c>
      <c r="F47" s="51">
        <v>105612</v>
      </c>
      <c r="G47" s="51">
        <v>3501</v>
      </c>
      <c r="H47" s="51">
        <v>162156</v>
      </c>
      <c r="I47" s="51">
        <v>7097</v>
      </c>
      <c r="J47" s="51">
        <v>116292</v>
      </c>
      <c r="K47" s="51">
        <v>-14452</v>
      </c>
      <c r="L47" s="51">
        <v>-10448</v>
      </c>
      <c r="M47" s="51">
        <v>-75923</v>
      </c>
      <c r="N47" s="51">
        <v>-101556</v>
      </c>
      <c r="O47" s="51">
        <v>-138526</v>
      </c>
      <c r="P47" s="51">
        <v>1101</v>
      </c>
      <c r="Q47" s="51">
        <v>-32885</v>
      </c>
      <c r="R47" s="51">
        <v>3575</v>
      </c>
      <c r="S47" s="51">
        <v>7300</v>
      </c>
      <c r="T47" s="51">
        <v>3563</v>
      </c>
      <c r="U47" s="51">
        <v>35699</v>
      </c>
      <c r="V47" s="51">
        <v>10867</v>
      </c>
      <c r="W47" s="51">
        <v>24415</v>
      </c>
      <c r="X47" s="51">
        <f aca="true" t="shared" si="35" ref="X47:AC47">SUM(X45:X46)</f>
        <v>3417</v>
      </c>
      <c r="Y47" s="51">
        <f t="shared" si="35"/>
        <v>26211</v>
      </c>
      <c r="Z47" s="51">
        <f t="shared" si="35"/>
        <v>8200</v>
      </c>
      <c r="AA47" s="51">
        <f t="shared" si="35"/>
        <v>13018</v>
      </c>
      <c r="AB47" s="51">
        <f t="shared" si="35"/>
        <v>9609</v>
      </c>
      <c r="AC47" s="51">
        <f t="shared" si="35"/>
        <v>138135</v>
      </c>
      <c r="AD47" s="51">
        <f aca="true" t="shared" si="36" ref="AD47:AI47">SUM(AD45:AD46)</f>
        <v>28763</v>
      </c>
      <c r="AE47" s="51">
        <f t="shared" si="36"/>
        <v>12351</v>
      </c>
      <c r="AF47" s="51">
        <f t="shared" si="36"/>
        <v>14982</v>
      </c>
      <c r="AG47" s="51">
        <f t="shared" si="36"/>
        <v>105672</v>
      </c>
      <c r="AH47" s="51">
        <f t="shared" si="36"/>
        <v>12309</v>
      </c>
      <c r="AI47" s="51">
        <f t="shared" si="36"/>
        <v>12620</v>
      </c>
      <c r="AJ47" s="51">
        <f aca="true" t="shared" si="37" ref="AJ47:AP47">SUM(AJ45:AJ46)</f>
        <v>13102</v>
      </c>
      <c r="AK47" s="51">
        <f t="shared" si="37"/>
        <v>49194</v>
      </c>
      <c r="AL47" s="51">
        <f t="shared" si="37"/>
        <v>15373</v>
      </c>
      <c r="AM47" s="51">
        <f t="shared" si="37"/>
        <v>14499</v>
      </c>
      <c r="AN47" s="51">
        <f t="shared" si="37"/>
        <v>14006</v>
      </c>
      <c r="AO47" s="185">
        <f t="shared" si="37"/>
        <v>31320</v>
      </c>
      <c r="AP47" s="185">
        <f t="shared" si="37"/>
        <v>17700</v>
      </c>
      <c r="AQ47" s="185">
        <f aca="true" t="shared" si="38" ref="AQ47:AW47">SUM(AQ45:AQ46)</f>
        <v>18041</v>
      </c>
      <c r="AR47" s="185">
        <f t="shared" si="38"/>
        <v>16312</v>
      </c>
      <c r="AS47" s="185">
        <f t="shared" si="38"/>
        <v>19188</v>
      </c>
      <c r="AT47" s="185">
        <f t="shared" si="38"/>
        <v>18736</v>
      </c>
      <c r="AU47" s="185">
        <f t="shared" si="38"/>
        <v>19224</v>
      </c>
      <c r="AV47" s="185">
        <f t="shared" si="38"/>
        <v>16361</v>
      </c>
      <c r="AW47" s="185">
        <f t="shared" si="38"/>
        <v>57123</v>
      </c>
      <c r="AX47" s="185">
        <f aca="true" t="shared" si="39" ref="AX47:BC47">SUM(AX45:AX46)</f>
        <v>13202</v>
      </c>
      <c r="AY47" s="185">
        <f t="shared" si="39"/>
        <v>11333</v>
      </c>
      <c r="AZ47" s="185">
        <f t="shared" si="39"/>
        <v>10487</v>
      </c>
      <c r="BA47" s="185">
        <f t="shared" si="39"/>
        <v>106696</v>
      </c>
      <c r="BB47" s="185">
        <f t="shared" si="39"/>
        <v>14054</v>
      </c>
      <c r="BC47" s="185">
        <f t="shared" si="39"/>
        <v>13618</v>
      </c>
      <c r="BD47" s="185">
        <f>SUM(BD45:BD46)</f>
        <v>11537</v>
      </c>
    </row>
    <row r="48" spans="24:46" ht="12.75">
      <c r="X48" s="148"/>
      <c r="AT48" s="80"/>
    </row>
    <row r="49" spans="1:56" ht="12.75">
      <c r="A49" s="25"/>
      <c r="B49" s="80" t="s">
        <v>273</v>
      </c>
      <c r="D49" s="44">
        <v>817</v>
      </c>
      <c r="E49" s="44">
        <v>804</v>
      </c>
      <c r="F49" s="44">
        <v>959</v>
      </c>
      <c r="G49" s="44">
        <v>1177</v>
      </c>
      <c r="H49" s="44">
        <v>1172</v>
      </c>
      <c r="I49" s="44">
        <v>1253</v>
      </c>
      <c r="J49" s="44">
        <v>2289</v>
      </c>
      <c r="K49" s="44">
        <v>2796</v>
      </c>
      <c r="L49" s="44">
        <v>1832</v>
      </c>
      <c r="M49" s="46">
        <v>3078</v>
      </c>
      <c r="N49" s="46">
        <v>2759</v>
      </c>
      <c r="O49" s="46">
        <v>2924</v>
      </c>
      <c r="P49" s="46">
        <v>2956</v>
      </c>
      <c r="Q49" s="46">
        <v>2615</v>
      </c>
      <c r="R49" s="46">
        <v>2097</v>
      </c>
      <c r="S49" s="46">
        <v>3094</v>
      </c>
      <c r="T49" s="46">
        <v>3088</v>
      </c>
      <c r="U49" s="46">
        <v>3092</v>
      </c>
      <c r="V49" s="46">
        <v>3132</v>
      </c>
      <c r="W49" s="46">
        <v>3068</v>
      </c>
      <c r="X49" s="46">
        <v>4001</v>
      </c>
      <c r="Y49" s="46">
        <v>2912</v>
      </c>
      <c r="Z49" s="46">
        <v>5673</v>
      </c>
      <c r="AA49" s="46">
        <v>2304</v>
      </c>
      <c r="AB49" s="46">
        <v>5124</v>
      </c>
      <c r="AC49" s="46">
        <v>345</v>
      </c>
      <c r="AD49" s="46">
        <v>1186</v>
      </c>
      <c r="AE49" s="46">
        <v>232</v>
      </c>
      <c r="AF49" s="46">
        <v>275</v>
      </c>
      <c r="AG49" s="46">
        <v>262</v>
      </c>
      <c r="AH49" s="46">
        <v>274</v>
      </c>
      <c r="AI49" s="46">
        <v>273</v>
      </c>
      <c r="AJ49" s="46">
        <v>250</v>
      </c>
      <c r="AK49" s="46">
        <v>1097</v>
      </c>
      <c r="AL49" s="46">
        <v>400</v>
      </c>
      <c r="AM49" s="46">
        <v>397</v>
      </c>
      <c r="AN49" s="46">
        <v>395</v>
      </c>
      <c r="AO49" s="186">
        <v>849</v>
      </c>
      <c r="AP49" s="186">
        <v>406</v>
      </c>
      <c r="AQ49" s="186">
        <v>405</v>
      </c>
      <c r="AR49" s="186">
        <v>405</v>
      </c>
      <c r="AS49" s="186">
        <v>971</v>
      </c>
      <c r="AT49" s="186">
        <v>377</v>
      </c>
      <c r="AU49" s="186">
        <v>759</v>
      </c>
      <c r="AV49" s="186">
        <v>360</v>
      </c>
      <c r="AW49" s="186">
        <v>253</v>
      </c>
      <c r="AX49" s="186">
        <v>262</v>
      </c>
      <c r="AY49" s="186">
        <v>373</v>
      </c>
      <c r="AZ49" s="186">
        <f>255+82</f>
        <v>337</v>
      </c>
      <c r="BA49" s="186">
        <f>187+306</f>
        <v>493</v>
      </c>
      <c r="BB49" s="186">
        <f>124+24</f>
        <v>148</v>
      </c>
      <c r="BC49" s="186">
        <v>120</v>
      </c>
      <c r="BD49" s="186">
        <v>127</v>
      </c>
    </row>
    <row r="50" spans="1:56" ht="12.75">
      <c r="A50" s="82"/>
      <c r="B50" s="80" t="s">
        <v>33</v>
      </c>
      <c r="C50" s="80"/>
      <c r="D50" s="44">
        <v>326</v>
      </c>
      <c r="E50" s="44">
        <v>321</v>
      </c>
      <c r="F50" s="44">
        <v>333</v>
      </c>
      <c r="G50" s="44">
        <v>1651</v>
      </c>
      <c r="H50" s="44">
        <v>1929</v>
      </c>
      <c r="I50" s="44">
        <v>2475</v>
      </c>
      <c r="J50" s="44">
        <v>3735</v>
      </c>
      <c r="K50" s="44">
        <v>3027</v>
      </c>
      <c r="L50" s="44">
        <v>3778</v>
      </c>
      <c r="M50" s="46">
        <v>2815</v>
      </c>
      <c r="N50" s="46">
        <v>2687</v>
      </c>
      <c r="O50" s="46">
        <v>2462</v>
      </c>
      <c r="P50" s="46">
        <v>2450</v>
      </c>
      <c r="Q50" s="46">
        <v>2759</v>
      </c>
      <c r="R50" s="46">
        <v>3127</v>
      </c>
      <c r="S50" s="46">
        <v>2164</v>
      </c>
      <c r="T50" s="46">
        <v>3070</v>
      </c>
      <c r="U50" s="46">
        <v>2226</v>
      </c>
      <c r="V50" s="46">
        <v>2710</v>
      </c>
      <c r="W50" s="46">
        <v>2655</v>
      </c>
      <c r="X50" s="46">
        <v>2710</v>
      </c>
      <c r="Y50" s="46">
        <v>2743</v>
      </c>
      <c r="Z50" s="46">
        <v>2586</v>
      </c>
      <c r="AA50" s="46">
        <v>2579</v>
      </c>
      <c r="AB50" s="46">
        <v>2733</v>
      </c>
      <c r="AC50" s="46">
        <v>2543</v>
      </c>
      <c r="AD50" s="46">
        <v>2350</v>
      </c>
      <c r="AE50" s="46">
        <v>2321</v>
      </c>
      <c r="AF50" s="46">
        <v>1293</v>
      </c>
      <c r="AG50" s="46">
        <v>1930</v>
      </c>
      <c r="AH50" s="46">
        <v>736</v>
      </c>
      <c r="AI50" s="46">
        <v>869</v>
      </c>
      <c r="AJ50" s="46">
        <v>1194</v>
      </c>
      <c r="AK50" s="46">
        <v>0</v>
      </c>
      <c r="AL50" s="46">
        <v>0</v>
      </c>
      <c r="AM50" s="46">
        <v>897</v>
      </c>
      <c r="AN50" s="46">
        <v>897</v>
      </c>
      <c r="AO50" s="186">
        <v>954</v>
      </c>
      <c r="AP50" s="186">
        <v>786</v>
      </c>
      <c r="AQ50" s="186">
        <v>1355</v>
      </c>
      <c r="AR50" s="186">
        <v>334</v>
      </c>
      <c r="AS50" s="186">
        <v>0</v>
      </c>
      <c r="AT50" s="186">
        <v>0</v>
      </c>
      <c r="AU50" s="186">
        <v>0</v>
      </c>
      <c r="AV50" s="186">
        <v>406</v>
      </c>
      <c r="AW50" s="186">
        <v>622</v>
      </c>
      <c r="AX50" s="186">
        <v>3369</v>
      </c>
      <c r="AY50" s="186">
        <v>3418</v>
      </c>
      <c r="AZ50" s="186">
        <v>3481</v>
      </c>
      <c r="BA50" s="186">
        <v>3517</v>
      </c>
      <c r="BB50" s="186">
        <v>3418</v>
      </c>
      <c r="BC50" s="186">
        <v>3305</v>
      </c>
      <c r="BD50" s="186">
        <v>3323</v>
      </c>
    </row>
    <row r="51" spans="1:56" ht="12.75">
      <c r="A51" s="25"/>
      <c r="B51" s="80" t="s">
        <v>66</v>
      </c>
      <c r="C51" s="80"/>
      <c r="D51" s="44">
        <v>81</v>
      </c>
      <c r="E51" s="44">
        <v>81</v>
      </c>
      <c r="F51" s="44">
        <v>103</v>
      </c>
      <c r="G51" s="44">
        <v>70</v>
      </c>
      <c r="H51" s="44">
        <v>115</v>
      </c>
      <c r="I51" s="44">
        <v>140</v>
      </c>
      <c r="J51" s="44">
        <v>210</v>
      </c>
      <c r="K51" s="44">
        <v>287</v>
      </c>
      <c r="L51" s="44">
        <v>232</v>
      </c>
      <c r="M51" s="46">
        <v>230</v>
      </c>
      <c r="N51" s="46">
        <v>219</v>
      </c>
      <c r="O51" s="46">
        <v>211</v>
      </c>
      <c r="P51" s="46">
        <v>196</v>
      </c>
      <c r="Q51" s="46">
        <v>243</v>
      </c>
      <c r="R51" s="46">
        <v>132</v>
      </c>
      <c r="S51" s="46">
        <v>226</v>
      </c>
      <c r="T51" s="46">
        <v>175</v>
      </c>
      <c r="U51" s="46">
        <v>187</v>
      </c>
      <c r="V51" s="46">
        <v>193</v>
      </c>
      <c r="W51" s="46">
        <v>182</v>
      </c>
      <c r="X51" s="46">
        <v>177</v>
      </c>
      <c r="Y51" s="46">
        <v>180</v>
      </c>
      <c r="Z51" s="46">
        <v>184</v>
      </c>
      <c r="AA51" s="46">
        <v>183</v>
      </c>
      <c r="AB51" s="46">
        <v>195</v>
      </c>
      <c r="AC51" s="46">
        <v>208</v>
      </c>
      <c r="AD51" s="46">
        <v>169</v>
      </c>
      <c r="AE51" s="46">
        <v>132</v>
      </c>
      <c r="AF51" s="46">
        <v>133</v>
      </c>
      <c r="AG51" s="46">
        <v>138</v>
      </c>
      <c r="AH51" s="46">
        <v>140</v>
      </c>
      <c r="AI51" s="46">
        <v>134</v>
      </c>
      <c r="AJ51" s="46">
        <v>143</v>
      </c>
      <c r="AK51" s="46">
        <v>142</v>
      </c>
      <c r="AL51" s="46">
        <v>144</v>
      </c>
      <c r="AM51" s="46">
        <v>135</v>
      </c>
      <c r="AN51" s="46">
        <v>138</v>
      </c>
      <c r="AO51" s="186">
        <v>153</v>
      </c>
      <c r="AP51" s="186">
        <v>145</v>
      </c>
      <c r="AQ51" s="186">
        <v>153</v>
      </c>
      <c r="AR51" s="186">
        <v>153</v>
      </c>
      <c r="AS51" s="186">
        <v>154</v>
      </c>
      <c r="AT51" s="186">
        <v>156</v>
      </c>
      <c r="AU51" s="186">
        <v>159</v>
      </c>
      <c r="AV51" s="186">
        <v>154</v>
      </c>
      <c r="AW51" s="186">
        <v>158</v>
      </c>
      <c r="AX51" s="186">
        <v>167</v>
      </c>
      <c r="AY51" s="186">
        <v>168</v>
      </c>
      <c r="AZ51" s="186">
        <v>169</v>
      </c>
      <c r="BA51" s="186">
        <v>177</v>
      </c>
      <c r="BB51" s="186">
        <v>153</v>
      </c>
      <c r="BC51" s="186">
        <v>158</v>
      </c>
      <c r="BD51" s="186">
        <v>161</v>
      </c>
    </row>
    <row r="52" spans="1:56" ht="12.75">
      <c r="A52" s="25"/>
      <c r="B52" s="26" t="s">
        <v>34</v>
      </c>
      <c r="C52" s="80"/>
      <c r="D52" s="44">
        <v>9290</v>
      </c>
      <c r="E52" s="44">
        <v>2940</v>
      </c>
      <c r="F52" s="44">
        <v>-125399</v>
      </c>
      <c r="G52" s="44">
        <v>0</v>
      </c>
      <c r="H52" s="44">
        <v>-155415</v>
      </c>
      <c r="I52" s="44">
        <v>4132</v>
      </c>
      <c r="J52" s="44">
        <v>-120649</v>
      </c>
      <c r="K52" s="44">
        <v>0</v>
      </c>
      <c r="L52" s="44">
        <v>29704</v>
      </c>
      <c r="M52" s="44">
        <v>83543</v>
      </c>
      <c r="N52" s="44">
        <v>51386</v>
      </c>
      <c r="O52" s="44">
        <v>143685</v>
      </c>
      <c r="P52" s="44">
        <v>1208</v>
      </c>
      <c r="Q52" s="44">
        <v>29940</v>
      </c>
      <c r="R52" s="44">
        <v>4354</v>
      </c>
      <c r="S52" s="44">
        <v>953</v>
      </c>
      <c r="T52" s="44">
        <v>530</v>
      </c>
      <c r="U52" s="44">
        <v>-30094</v>
      </c>
      <c r="V52" s="44">
        <v>-51</v>
      </c>
      <c r="W52" s="46">
        <v>774</v>
      </c>
      <c r="X52" s="46">
        <v>1157</v>
      </c>
      <c r="Y52" s="46">
        <v>-19039</v>
      </c>
      <c r="Z52" s="46">
        <v>553</v>
      </c>
      <c r="AA52" s="46">
        <v>377</v>
      </c>
      <c r="AB52" s="46">
        <v>-4497</v>
      </c>
      <c r="AC52" s="46">
        <v>-64420</v>
      </c>
      <c r="AD52" s="46">
        <v>2039</v>
      </c>
      <c r="AE52" s="46">
        <v>2076</v>
      </c>
      <c r="AF52" s="46">
        <v>1119</v>
      </c>
      <c r="AG52" s="46">
        <f aca="true" t="shared" si="40" ref="AG52:AM52">-AG39</f>
        <v>-100466</v>
      </c>
      <c r="AH52" s="46">
        <f t="shared" si="40"/>
        <v>439</v>
      </c>
      <c r="AI52" s="46">
        <f t="shared" si="40"/>
        <v>763</v>
      </c>
      <c r="AJ52" s="46">
        <f t="shared" si="40"/>
        <v>812</v>
      </c>
      <c r="AK52" s="46">
        <f t="shared" si="40"/>
        <v>-29434</v>
      </c>
      <c r="AL52" s="46">
        <f t="shared" si="40"/>
        <v>87</v>
      </c>
      <c r="AM52" s="46">
        <f t="shared" si="40"/>
        <v>525</v>
      </c>
      <c r="AN52" s="46">
        <f aca="true" t="shared" si="41" ref="AN52:AS52">-AN39</f>
        <v>397</v>
      </c>
      <c r="AO52" s="186">
        <f t="shared" si="41"/>
        <v>-6396</v>
      </c>
      <c r="AP52" s="186">
        <f t="shared" si="41"/>
        <v>141</v>
      </c>
      <c r="AQ52" s="186">
        <f t="shared" si="41"/>
        <v>1133</v>
      </c>
      <c r="AR52" s="186">
        <f t="shared" si="41"/>
        <v>588</v>
      </c>
      <c r="AS52" s="186">
        <f t="shared" si="41"/>
        <v>-1172</v>
      </c>
      <c r="AT52" s="186">
        <v>-281</v>
      </c>
      <c r="AU52" s="186">
        <v>-69</v>
      </c>
      <c r="AV52" s="186">
        <v>-178</v>
      </c>
      <c r="AW52" s="186">
        <v>-59538</v>
      </c>
      <c r="AX52" s="186">
        <v>-48</v>
      </c>
      <c r="AY52" s="186">
        <f aca="true" t="shared" si="42" ref="AY52:BD52">-AY39</f>
        <v>396</v>
      </c>
      <c r="AZ52" s="186">
        <f t="shared" si="42"/>
        <v>362</v>
      </c>
      <c r="BA52" s="186">
        <f t="shared" si="42"/>
        <v>-21610</v>
      </c>
      <c r="BB52" s="186">
        <f t="shared" si="42"/>
        <v>-598</v>
      </c>
      <c r="BC52" s="186">
        <f t="shared" si="42"/>
        <v>-109</v>
      </c>
      <c r="BD52" s="186">
        <f t="shared" si="42"/>
        <v>-132</v>
      </c>
    </row>
    <row r="53" spans="1:56" ht="12.75">
      <c r="A53" s="25"/>
      <c r="B53" s="26" t="s">
        <v>35</v>
      </c>
      <c r="C53" s="80"/>
      <c r="D53" s="44">
        <v>-3999</v>
      </c>
      <c r="E53" s="44">
        <v>2443</v>
      </c>
      <c r="F53" s="44">
        <v>-4236</v>
      </c>
      <c r="G53" s="44">
        <v>2503</v>
      </c>
      <c r="H53" s="44">
        <v>-17831</v>
      </c>
      <c r="I53" s="44">
        <v>2129</v>
      </c>
      <c r="J53" s="44">
        <v>2193</v>
      </c>
      <c r="K53" s="44">
        <v>15366</v>
      </c>
      <c r="L53" s="44">
        <v>2891</v>
      </c>
      <c r="M53" s="44">
        <v>2369</v>
      </c>
      <c r="N53" s="44">
        <v>26708</v>
      </c>
      <c r="O53" s="44">
        <v>-1492</v>
      </c>
      <c r="P53" s="44">
        <v>1379</v>
      </c>
      <c r="Q53" s="44">
        <v>917</v>
      </c>
      <c r="R53" s="44">
        <v>-710</v>
      </c>
      <c r="S53" s="44">
        <v>-323</v>
      </c>
      <c r="T53" s="44">
        <v>2790</v>
      </c>
      <c r="U53" s="44">
        <v>113</v>
      </c>
      <c r="V53" s="44">
        <v>-3844</v>
      </c>
      <c r="W53" s="46">
        <v>709</v>
      </c>
      <c r="X53" s="46">
        <v>614</v>
      </c>
      <c r="Y53" s="46">
        <v>567</v>
      </c>
      <c r="Z53" s="46">
        <v>-1467</v>
      </c>
      <c r="AA53" s="46">
        <v>-1241</v>
      </c>
      <c r="AB53" s="46">
        <v>2403</v>
      </c>
      <c r="AC53" s="46">
        <v>-38</v>
      </c>
      <c r="AD53" s="46">
        <v>-169</v>
      </c>
      <c r="AE53" s="46">
        <v>-159</v>
      </c>
      <c r="AF53" s="46">
        <v>-2992</v>
      </c>
      <c r="AG53" s="46">
        <f aca="true" t="shared" si="43" ref="AG53:AM53">-AG37</f>
        <v>1274</v>
      </c>
      <c r="AH53" s="46">
        <f t="shared" si="43"/>
        <v>-893</v>
      </c>
      <c r="AI53" s="46">
        <f t="shared" si="43"/>
        <v>-361</v>
      </c>
      <c r="AJ53" s="46">
        <f t="shared" si="43"/>
        <v>199</v>
      </c>
      <c r="AK53" s="46">
        <f t="shared" si="43"/>
        <v>-1219</v>
      </c>
      <c r="AL53" s="46">
        <f t="shared" si="43"/>
        <v>-319</v>
      </c>
      <c r="AM53" s="46">
        <f t="shared" si="43"/>
        <v>-422</v>
      </c>
      <c r="AN53" s="46">
        <f aca="true" t="shared" si="44" ref="AN53:AS53">-AN37</f>
        <v>39</v>
      </c>
      <c r="AO53" s="186">
        <f t="shared" si="44"/>
        <v>-327</v>
      </c>
      <c r="AP53" s="186">
        <f t="shared" si="44"/>
        <v>769</v>
      </c>
      <c r="AQ53" s="186">
        <f t="shared" si="44"/>
        <v>-110</v>
      </c>
      <c r="AR53" s="186">
        <f t="shared" si="44"/>
        <v>-641</v>
      </c>
      <c r="AS53" s="186">
        <f t="shared" si="44"/>
        <v>767</v>
      </c>
      <c r="AT53" s="186">
        <v>-87</v>
      </c>
      <c r="AU53" s="186">
        <v>270</v>
      </c>
      <c r="AV53" s="186">
        <v>-322</v>
      </c>
      <c r="AW53" s="186">
        <v>-58</v>
      </c>
      <c r="AX53" s="186">
        <v>-327</v>
      </c>
      <c r="AY53" s="186">
        <f aca="true" t="shared" si="45" ref="AY53:BD53">-AY37</f>
        <v>344</v>
      </c>
      <c r="AZ53" s="186">
        <f t="shared" si="45"/>
        <v>13</v>
      </c>
      <c r="BA53" s="186">
        <f t="shared" si="45"/>
        <v>32</v>
      </c>
      <c r="BB53" s="186">
        <f t="shared" si="45"/>
        <v>-186</v>
      </c>
      <c r="BC53" s="186">
        <f t="shared" si="45"/>
        <v>108</v>
      </c>
      <c r="BD53" s="186">
        <f t="shared" si="45"/>
        <v>-35</v>
      </c>
    </row>
    <row r="54" spans="1:56" ht="12.75">
      <c r="A54" s="25"/>
      <c r="B54" s="26" t="s">
        <v>148</v>
      </c>
      <c r="C54" s="80"/>
      <c r="D54" s="44"/>
      <c r="E54" s="44"/>
      <c r="F54" s="44"/>
      <c r="G54" s="44"/>
      <c r="H54" s="44"/>
      <c r="I54" s="44"/>
      <c r="J54" s="44"/>
      <c r="K54" s="44">
        <v>0</v>
      </c>
      <c r="L54" s="44">
        <v>0</v>
      </c>
      <c r="M54" s="44">
        <v>0</v>
      </c>
      <c r="N54" s="44">
        <v>0</v>
      </c>
      <c r="O54" s="44">
        <v>0</v>
      </c>
      <c r="P54" s="44">
        <v>0</v>
      </c>
      <c r="Q54" s="44">
        <v>0</v>
      </c>
      <c r="R54" s="44">
        <v>0</v>
      </c>
      <c r="S54" s="44">
        <v>0</v>
      </c>
      <c r="T54" s="44">
        <v>0</v>
      </c>
      <c r="U54" s="44">
        <v>0</v>
      </c>
      <c r="V54" s="44">
        <v>0</v>
      </c>
      <c r="W54" s="46">
        <v>0</v>
      </c>
      <c r="X54" s="46">
        <v>0</v>
      </c>
      <c r="Y54" s="46">
        <v>0</v>
      </c>
      <c r="Z54" s="46">
        <v>0</v>
      </c>
      <c r="AA54" s="46">
        <v>0</v>
      </c>
      <c r="AB54" s="46">
        <v>0</v>
      </c>
      <c r="AC54" s="46">
        <v>-72800</v>
      </c>
      <c r="AD54" s="46">
        <v>0</v>
      </c>
      <c r="AE54" s="46">
        <v>0</v>
      </c>
      <c r="AF54" s="46">
        <v>0</v>
      </c>
      <c r="AG54" s="46">
        <v>0</v>
      </c>
      <c r="AH54" s="46">
        <v>0</v>
      </c>
      <c r="AI54" s="46">
        <v>0</v>
      </c>
      <c r="AJ54" s="46">
        <v>0</v>
      </c>
      <c r="AK54" s="46">
        <v>0</v>
      </c>
      <c r="AL54" s="46">
        <v>0</v>
      </c>
      <c r="AM54" s="46">
        <v>0</v>
      </c>
      <c r="AN54" s="46">
        <v>0</v>
      </c>
      <c r="AO54" s="186">
        <v>0</v>
      </c>
      <c r="AP54" s="186">
        <v>0</v>
      </c>
      <c r="AQ54" s="186">
        <v>0</v>
      </c>
      <c r="AR54" s="186">
        <v>0</v>
      </c>
      <c r="AS54" s="186">
        <v>0</v>
      </c>
      <c r="AT54" s="186">
        <v>0</v>
      </c>
      <c r="AU54" s="186">
        <v>0</v>
      </c>
      <c r="AV54" s="186">
        <v>0</v>
      </c>
      <c r="AW54" s="186">
        <v>0</v>
      </c>
      <c r="AX54" s="186">
        <v>0</v>
      </c>
      <c r="AY54" s="186">
        <v>0</v>
      </c>
      <c r="AZ54" s="186">
        <v>0</v>
      </c>
      <c r="BA54" s="186">
        <f>-BA41</f>
        <v>-75724</v>
      </c>
      <c r="BB54" s="186">
        <f>-BB41</f>
        <v>0</v>
      </c>
      <c r="BC54" s="186">
        <f>-BC41</f>
        <v>0</v>
      </c>
      <c r="BD54" s="186">
        <f>-BD41</f>
        <v>0</v>
      </c>
    </row>
    <row r="55" spans="1:56" ht="12.75">
      <c r="A55" s="25"/>
      <c r="B55" s="26" t="s">
        <v>133</v>
      </c>
      <c r="C55" s="80"/>
      <c r="D55" s="44">
        <v>0</v>
      </c>
      <c r="E55" s="44">
        <v>0</v>
      </c>
      <c r="F55" s="44">
        <v>0</v>
      </c>
      <c r="G55" s="44">
        <v>0</v>
      </c>
      <c r="H55" s="44">
        <v>0</v>
      </c>
      <c r="I55" s="44">
        <v>0</v>
      </c>
      <c r="J55" s="44">
        <v>0</v>
      </c>
      <c r="K55" s="44">
        <v>0</v>
      </c>
      <c r="L55" s="44">
        <v>0</v>
      </c>
      <c r="M55" s="44">
        <v>0</v>
      </c>
      <c r="N55" s="44">
        <v>0</v>
      </c>
      <c r="O55" s="44">
        <v>0</v>
      </c>
      <c r="P55" s="44">
        <v>0</v>
      </c>
      <c r="Q55" s="44">
        <v>0</v>
      </c>
      <c r="R55" s="44">
        <v>0</v>
      </c>
      <c r="S55" s="44">
        <v>0</v>
      </c>
      <c r="T55" s="44">
        <v>0</v>
      </c>
      <c r="U55" s="44">
        <v>0</v>
      </c>
      <c r="V55" s="44">
        <v>0</v>
      </c>
      <c r="W55" s="46">
        <v>-16423</v>
      </c>
      <c r="X55" s="46">
        <v>3620</v>
      </c>
      <c r="Y55" s="46">
        <v>0</v>
      </c>
      <c r="Z55" s="46">
        <v>0</v>
      </c>
      <c r="AA55" s="46">
        <v>0</v>
      </c>
      <c r="AB55" s="46">
        <v>0</v>
      </c>
      <c r="AC55" s="46">
        <v>0</v>
      </c>
      <c r="AD55" s="46">
        <v>-18155</v>
      </c>
      <c r="AE55" s="46">
        <v>0</v>
      </c>
      <c r="AF55" s="46">
        <v>0</v>
      </c>
      <c r="AG55" s="46">
        <v>0</v>
      </c>
      <c r="AH55" s="46">
        <v>0</v>
      </c>
      <c r="AI55" s="46">
        <v>0</v>
      </c>
      <c r="AJ55" s="46">
        <v>0</v>
      </c>
      <c r="AK55" s="46">
        <v>0</v>
      </c>
      <c r="AL55" s="46">
        <v>0</v>
      </c>
      <c r="AM55" s="46">
        <v>0</v>
      </c>
      <c r="AN55" s="46">
        <v>0</v>
      </c>
      <c r="AO55" s="186">
        <v>0</v>
      </c>
      <c r="AP55" s="186">
        <v>0</v>
      </c>
      <c r="AQ55" s="186">
        <v>0</v>
      </c>
      <c r="AR55" s="186">
        <v>0</v>
      </c>
      <c r="AS55" s="186">
        <v>0</v>
      </c>
      <c r="AT55" s="186">
        <v>0</v>
      </c>
      <c r="AU55" s="186">
        <v>0</v>
      </c>
      <c r="AV55" s="186">
        <v>0</v>
      </c>
      <c r="AW55" s="186">
        <v>0</v>
      </c>
      <c r="AX55" s="186">
        <v>0</v>
      </c>
      <c r="AY55" s="186">
        <v>0</v>
      </c>
      <c r="AZ55" s="186">
        <v>0</v>
      </c>
      <c r="BA55" s="186">
        <v>0</v>
      </c>
      <c r="BB55" s="186">
        <v>0</v>
      </c>
      <c r="BC55" s="186">
        <v>0</v>
      </c>
      <c r="BD55" s="186">
        <v>0</v>
      </c>
    </row>
    <row r="56" spans="1:56" ht="12.75">
      <c r="A56" s="25"/>
      <c r="B56" s="80" t="s">
        <v>13</v>
      </c>
      <c r="C56" s="44"/>
      <c r="D56" s="44">
        <v>1137</v>
      </c>
      <c r="E56" s="44">
        <v>445</v>
      </c>
      <c r="F56" s="44">
        <v>30180</v>
      </c>
      <c r="G56" s="44">
        <v>-952</v>
      </c>
      <c r="H56" s="44">
        <v>20774</v>
      </c>
      <c r="I56" s="44">
        <v>-6117</v>
      </c>
      <c r="J56" s="44">
        <v>11497</v>
      </c>
      <c r="K56" s="44">
        <v>4299</v>
      </c>
      <c r="L56" s="44">
        <v>-10816</v>
      </c>
      <c r="M56" s="44">
        <v>-8610</v>
      </c>
      <c r="N56" s="44">
        <v>27066</v>
      </c>
      <c r="O56" s="44">
        <v>-3847</v>
      </c>
      <c r="P56" s="44">
        <v>-3720</v>
      </c>
      <c r="Q56" s="44">
        <v>4416</v>
      </c>
      <c r="R56" s="44">
        <v>-430</v>
      </c>
      <c r="S56" s="44">
        <v>1070</v>
      </c>
      <c r="T56" s="44">
        <v>-794</v>
      </c>
      <c r="U56" s="44">
        <v>3029</v>
      </c>
      <c r="V56" s="44">
        <v>-363</v>
      </c>
      <c r="W56" s="44">
        <v>-658</v>
      </c>
      <c r="X56" s="44">
        <v>-2293</v>
      </c>
      <c r="Y56" s="46">
        <v>819</v>
      </c>
      <c r="Z56" s="46">
        <v>-1388</v>
      </c>
      <c r="AA56" s="46">
        <v>-1362</v>
      </c>
      <c r="AB56" s="46">
        <v>70</v>
      </c>
      <c r="AC56" s="46">
        <v>12080</v>
      </c>
      <c r="AD56" s="46">
        <v>-1180</v>
      </c>
      <c r="AE56" s="46">
        <v>-1573</v>
      </c>
      <c r="AF56" s="46">
        <v>-246</v>
      </c>
      <c r="AG56" s="46">
        <v>5045</v>
      </c>
      <c r="AH56" s="46">
        <v>713</v>
      </c>
      <c r="AI56" s="46">
        <f>338-289-660+105</f>
        <v>-506</v>
      </c>
      <c r="AJ56" s="46">
        <f>354-548-884+162</f>
        <v>-916</v>
      </c>
      <c r="AK56" s="46">
        <f>-4413+816-581+60-675</f>
        <v>-4793</v>
      </c>
      <c r="AL56" s="46">
        <f>339+1185-119+73-451</f>
        <v>1027</v>
      </c>
      <c r="AM56" s="46">
        <f>304+188-415+81</f>
        <v>158</v>
      </c>
      <c r="AN56" s="46">
        <f>313+342-191-254</f>
        <v>210</v>
      </c>
      <c r="AO56" s="186">
        <f>-9262+825-277+983</f>
        <v>-7731</v>
      </c>
      <c r="AP56" s="186">
        <f>322-249-275-43</f>
        <v>-245</v>
      </c>
      <c r="AQ56" s="186">
        <f>321-1304-920+274</f>
        <v>-1629</v>
      </c>
      <c r="AR56" s="186">
        <f>320+1426-450+625</f>
        <v>1921</v>
      </c>
      <c r="AS56" s="186">
        <f>297-SUM(AS49:AS55)</f>
        <v>-423</v>
      </c>
      <c r="AT56" s="198">
        <f>1203-SUM(AT49:AT55)</f>
        <v>1038</v>
      </c>
      <c r="AU56" s="186">
        <v>-321</v>
      </c>
      <c r="AV56" s="186">
        <f>-53+1090+205+1219</f>
        <v>2461</v>
      </c>
      <c r="AW56" s="186">
        <f>20551-690+135+841</f>
        <v>20837</v>
      </c>
      <c r="AX56" s="186">
        <f>19456-16625</f>
        <v>2831</v>
      </c>
      <c r="AY56" s="186">
        <f>1796+142+2917-574+288</f>
        <v>4569</v>
      </c>
      <c r="AZ56" s="186">
        <f>1387-853-592+5518+939</f>
        <v>6399</v>
      </c>
      <c r="BA56" s="186">
        <f>3692+665-356+2404+1435</f>
        <v>7840</v>
      </c>
      <c r="BB56" s="186">
        <f>-1065+1668-247+3785+420</f>
        <v>4561</v>
      </c>
      <c r="BC56" s="186">
        <f>338-560-699+4923+467</f>
        <v>4469</v>
      </c>
      <c r="BD56" s="186">
        <f>-2791+3721-477+6275+70</f>
        <v>6798</v>
      </c>
    </row>
    <row r="57" spans="1:56" ht="12.75">
      <c r="A57" s="25"/>
      <c r="B57" s="28"/>
      <c r="C57" s="34"/>
      <c r="D57" s="47">
        <v>7652</v>
      </c>
      <c r="E57" s="47">
        <v>7034</v>
      </c>
      <c r="F57" s="47">
        <v>-98060</v>
      </c>
      <c r="G57" s="47">
        <v>4449</v>
      </c>
      <c r="H57" s="47">
        <v>-149256</v>
      </c>
      <c r="I57" s="47">
        <v>4012</v>
      </c>
      <c r="J57" s="47">
        <v>-100725</v>
      </c>
      <c r="K57" s="47">
        <v>25775</v>
      </c>
      <c r="L57" s="47">
        <v>27621</v>
      </c>
      <c r="M57" s="47">
        <v>83425</v>
      </c>
      <c r="N57" s="47">
        <v>110825</v>
      </c>
      <c r="O57" s="47">
        <v>143943</v>
      </c>
      <c r="P57" s="47">
        <v>4469</v>
      </c>
      <c r="Q57" s="47">
        <v>40890</v>
      </c>
      <c r="R57" s="47">
        <v>8570</v>
      </c>
      <c r="S57" s="47">
        <v>7184</v>
      </c>
      <c r="T57" s="47">
        <v>8859</v>
      </c>
      <c r="U57" s="47">
        <v>-21447</v>
      </c>
      <c r="V57" s="47">
        <v>1777</v>
      </c>
      <c r="W57" s="47">
        <v>-9693</v>
      </c>
      <c r="X57" s="47">
        <f aca="true" t="shared" si="46" ref="X57:AC57">SUM(X49:X56)</f>
        <v>9986</v>
      </c>
      <c r="Y57" s="47">
        <f t="shared" si="46"/>
        <v>-11818</v>
      </c>
      <c r="Z57" s="47">
        <f t="shared" si="46"/>
        <v>6141</v>
      </c>
      <c r="AA57" s="47">
        <f t="shared" si="46"/>
        <v>2840</v>
      </c>
      <c r="AB57" s="47">
        <f t="shared" si="46"/>
        <v>6028</v>
      </c>
      <c r="AC57" s="47">
        <f t="shared" si="46"/>
        <v>-122082</v>
      </c>
      <c r="AD57" s="47">
        <f aca="true" t="shared" si="47" ref="AD57:AI57">SUM(AD49:AD56)</f>
        <v>-13760</v>
      </c>
      <c r="AE57" s="47">
        <f t="shared" si="47"/>
        <v>3029</v>
      </c>
      <c r="AF57" s="47">
        <f t="shared" si="47"/>
        <v>-418</v>
      </c>
      <c r="AG57" s="47">
        <f t="shared" si="47"/>
        <v>-91817</v>
      </c>
      <c r="AH57" s="47">
        <f t="shared" si="47"/>
        <v>1409</v>
      </c>
      <c r="AI57" s="47">
        <f t="shared" si="47"/>
        <v>1172</v>
      </c>
      <c r="AJ57" s="47">
        <f aca="true" t="shared" si="48" ref="AJ57:AP57">SUM(AJ49:AJ56)</f>
        <v>1682</v>
      </c>
      <c r="AK57" s="47">
        <f t="shared" si="48"/>
        <v>-34207</v>
      </c>
      <c r="AL57" s="47">
        <f t="shared" si="48"/>
        <v>1339</v>
      </c>
      <c r="AM57" s="47">
        <f t="shared" si="48"/>
        <v>1690</v>
      </c>
      <c r="AN57" s="47">
        <f t="shared" si="48"/>
        <v>2076</v>
      </c>
      <c r="AO57" s="184">
        <f t="shared" si="48"/>
        <v>-12498</v>
      </c>
      <c r="AP57" s="184">
        <f t="shared" si="48"/>
        <v>2002</v>
      </c>
      <c r="AQ57" s="184">
        <f aca="true" t="shared" si="49" ref="AQ57:AV57">SUM(AQ49:AQ56)</f>
        <v>1307</v>
      </c>
      <c r="AR57" s="184">
        <f t="shared" si="49"/>
        <v>2760</v>
      </c>
      <c r="AS57" s="184">
        <f t="shared" si="49"/>
        <v>297</v>
      </c>
      <c r="AT57" s="184">
        <f t="shared" si="49"/>
        <v>1203</v>
      </c>
      <c r="AU57" s="184">
        <f t="shared" si="49"/>
        <v>798</v>
      </c>
      <c r="AV57" s="184">
        <f t="shared" si="49"/>
        <v>2881</v>
      </c>
      <c r="AW57" s="184">
        <f aca="true" t="shared" si="50" ref="AW57:BB57">SUM(AW49:AW56)</f>
        <v>-37726</v>
      </c>
      <c r="AX57" s="184">
        <f t="shared" si="50"/>
        <v>6254</v>
      </c>
      <c r="AY57" s="184">
        <f t="shared" si="50"/>
        <v>9268</v>
      </c>
      <c r="AZ57" s="184">
        <f t="shared" si="50"/>
        <v>10761</v>
      </c>
      <c r="BA57" s="184">
        <f t="shared" si="50"/>
        <v>-85275</v>
      </c>
      <c r="BB57" s="184">
        <f t="shared" si="50"/>
        <v>7496</v>
      </c>
      <c r="BC57" s="184">
        <f>SUM(BC49:BC56)</f>
        <v>8051</v>
      </c>
      <c r="BD57" s="184">
        <f>SUM(BD49:BD56)</f>
        <v>10242</v>
      </c>
    </row>
    <row r="58" spans="1:56" ht="12.75">
      <c r="A58" s="25"/>
      <c r="B58" s="27"/>
      <c r="D58" s="44"/>
      <c r="F58" s="44"/>
      <c r="G58" s="44"/>
      <c r="H58" s="44"/>
      <c r="I58" s="44"/>
      <c r="J58" s="44"/>
      <c r="K58" s="44"/>
      <c r="L58" s="44"/>
      <c r="M58" s="48"/>
      <c r="N58" s="48"/>
      <c r="O58" s="48"/>
      <c r="P58" s="53"/>
      <c r="Q58" s="53"/>
      <c r="R58" s="53"/>
      <c r="S58" s="53"/>
      <c r="T58" s="53"/>
      <c r="U58" s="53"/>
      <c r="V58" s="53"/>
      <c r="X58" s="148"/>
      <c r="BA58" s="227"/>
      <c r="BB58" s="227"/>
      <c r="BC58" s="227"/>
      <c r="BD58" s="227"/>
    </row>
    <row r="59" spans="1:56" s="81" customFormat="1" ht="12.75">
      <c r="A59" s="34" t="s">
        <v>16</v>
      </c>
      <c r="B59" s="34"/>
      <c r="C59" s="34"/>
      <c r="D59" s="51">
        <v>7570</v>
      </c>
      <c r="E59" s="51">
        <v>7565</v>
      </c>
      <c r="F59" s="51">
        <v>7552</v>
      </c>
      <c r="G59" s="51">
        <v>7950</v>
      </c>
      <c r="H59" s="51">
        <v>12900</v>
      </c>
      <c r="I59" s="83">
        <v>11109</v>
      </c>
      <c r="J59" s="83">
        <v>15567</v>
      </c>
      <c r="K59" s="83">
        <v>11323</v>
      </c>
      <c r="L59" s="51">
        <v>17173</v>
      </c>
      <c r="M59" s="51">
        <v>8075</v>
      </c>
      <c r="N59" s="51">
        <v>9269</v>
      </c>
      <c r="O59" s="51">
        <v>5417</v>
      </c>
      <c r="P59" s="51">
        <v>5570</v>
      </c>
      <c r="Q59" s="51">
        <v>8005</v>
      </c>
      <c r="R59" s="51">
        <v>12145</v>
      </c>
      <c r="S59" s="51">
        <v>14484</v>
      </c>
      <c r="T59" s="51">
        <v>12422</v>
      </c>
      <c r="U59" s="51">
        <v>14252</v>
      </c>
      <c r="V59" s="51">
        <v>12644</v>
      </c>
      <c r="W59" s="51">
        <v>14722</v>
      </c>
      <c r="X59" s="51">
        <f aca="true" t="shared" si="51" ref="X59:AC59">X47+X57</f>
        <v>13403</v>
      </c>
      <c r="Y59" s="51">
        <f t="shared" si="51"/>
        <v>14393</v>
      </c>
      <c r="Z59" s="51">
        <f t="shared" si="51"/>
        <v>14341</v>
      </c>
      <c r="AA59" s="51">
        <f t="shared" si="51"/>
        <v>15858</v>
      </c>
      <c r="AB59" s="51">
        <f t="shared" si="51"/>
        <v>15637</v>
      </c>
      <c r="AC59" s="51">
        <f t="shared" si="51"/>
        <v>16053</v>
      </c>
      <c r="AD59" s="51">
        <f aca="true" t="shared" si="52" ref="AD59:AI59">AD47+AD57</f>
        <v>15003</v>
      </c>
      <c r="AE59" s="51">
        <f t="shared" si="52"/>
        <v>15380</v>
      </c>
      <c r="AF59" s="51">
        <f t="shared" si="52"/>
        <v>14564</v>
      </c>
      <c r="AG59" s="51">
        <f t="shared" si="52"/>
        <v>13855</v>
      </c>
      <c r="AH59" s="51">
        <f t="shared" si="52"/>
        <v>13718</v>
      </c>
      <c r="AI59" s="51">
        <f t="shared" si="52"/>
        <v>13792</v>
      </c>
      <c r="AJ59" s="51">
        <f aca="true" t="shared" si="53" ref="AJ59:AO59">AJ47+AJ57</f>
        <v>14784</v>
      </c>
      <c r="AK59" s="51">
        <f t="shared" si="53"/>
        <v>14987</v>
      </c>
      <c r="AL59" s="51">
        <f t="shared" si="53"/>
        <v>16712</v>
      </c>
      <c r="AM59" s="51">
        <f t="shared" si="53"/>
        <v>16189</v>
      </c>
      <c r="AN59" s="51">
        <f t="shared" si="53"/>
        <v>16082</v>
      </c>
      <c r="AO59" s="185">
        <f t="shared" si="53"/>
        <v>18822</v>
      </c>
      <c r="AP59" s="185">
        <f aca="true" t="shared" si="54" ref="AP59:AU59">AP47+AP57</f>
        <v>19702</v>
      </c>
      <c r="AQ59" s="185">
        <f t="shared" si="54"/>
        <v>19348</v>
      </c>
      <c r="AR59" s="185">
        <f t="shared" si="54"/>
        <v>19072</v>
      </c>
      <c r="AS59" s="185">
        <f t="shared" si="54"/>
        <v>19485</v>
      </c>
      <c r="AT59" s="185">
        <f t="shared" si="54"/>
        <v>19939</v>
      </c>
      <c r="AU59" s="185">
        <f t="shared" si="54"/>
        <v>20022</v>
      </c>
      <c r="AV59" s="185">
        <f aca="true" t="shared" si="55" ref="AV59:BA59">AV47+AV57</f>
        <v>19242</v>
      </c>
      <c r="AW59" s="185">
        <f t="shared" si="55"/>
        <v>19397</v>
      </c>
      <c r="AX59" s="185">
        <f t="shared" si="55"/>
        <v>19456</v>
      </c>
      <c r="AY59" s="185">
        <f t="shared" si="55"/>
        <v>20601</v>
      </c>
      <c r="AZ59" s="185">
        <f t="shared" si="55"/>
        <v>21248</v>
      </c>
      <c r="BA59" s="185">
        <f t="shared" si="55"/>
        <v>21421</v>
      </c>
      <c r="BB59" s="185">
        <f>BB47+BB57</f>
        <v>21550</v>
      </c>
      <c r="BC59" s="185">
        <f>BC47+BC57</f>
        <v>21669</v>
      </c>
      <c r="BD59" s="185">
        <f>BD47+BD57</f>
        <v>21779</v>
      </c>
    </row>
    <row r="60" spans="1:22" ht="13.5">
      <c r="A60" s="35"/>
      <c r="B60" s="35"/>
      <c r="C60" s="35"/>
      <c r="D60" s="46"/>
      <c r="E60" s="46"/>
      <c r="F60" s="46"/>
      <c r="G60" s="46"/>
      <c r="H60" s="46"/>
      <c r="I60" s="46"/>
      <c r="J60" s="46"/>
      <c r="K60" s="49"/>
      <c r="L60" s="49"/>
      <c r="M60" s="49"/>
      <c r="N60" s="49"/>
      <c r="O60" s="49"/>
      <c r="P60" s="49"/>
      <c r="Q60" s="49"/>
      <c r="R60" s="49"/>
      <c r="S60" s="49"/>
      <c r="T60" s="49"/>
      <c r="U60" s="49"/>
      <c r="V60" s="49"/>
    </row>
    <row r="61" spans="1:56" ht="15">
      <c r="A61" s="108" t="s">
        <v>134</v>
      </c>
      <c r="B61" s="35"/>
      <c r="C61" s="35"/>
      <c r="D61" s="46"/>
      <c r="E61" s="46"/>
      <c r="F61" s="46"/>
      <c r="G61" s="46"/>
      <c r="H61" s="46"/>
      <c r="I61" s="46"/>
      <c r="J61" s="46"/>
      <c r="K61" s="136"/>
      <c r="L61" s="136"/>
      <c r="M61" s="136"/>
      <c r="N61" s="136">
        <v>1.55</v>
      </c>
      <c r="O61" s="136">
        <v>0.8999999999999999</v>
      </c>
      <c r="P61" s="136">
        <v>0.8999999999999999</v>
      </c>
      <c r="Q61" s="136">
        <v>1</v>
      </c>
      <c r="R61" s="136">
        <v>1.2</v>
      </c>
      <c r="S61" s="136">
        <v>1.6</v>
      </c>
      <c r="T61" s="136">
        <v>1.25</v>
      </c>
      <c r="U61" s="136">
        <v>1.55</v>
      </c>
      <c r="V61" s="136">
        <v>1.25</v>
      </c>
      <c r="W61" s="136">
        <v>1.61</v>
      </c>
      <c r="X61" s="136">
        <v>1.38</v>
      </c>
      <c r="Y61" s="136">
        <v>1.52</v>
      </c>
      <c r="Z61" s="136">
        <v>1.51</v>
      </c>
      <c r="AA61" s="136">
        <v>1.74</v>
      </c>
      <c r="AB61" s="136">
        <v>1.7</v>
      </c>
      <c r="AC61" s="136">
        <v>1.75</v>
      </c>
      <c r="AD61" s="136">
        <v>1.58</v>
      </c>
      <c r="AE61" s="136">
        <v>1.99</v>
      </c>
      <c r="AF61" s="136">
        <v>2.19</v>
      </c>
      <c r="AG61" s="136">
        <v>2.08</v>
      </c>
      <c r="AH61" s="136">
        <v>2.05</v>
      </c>
      <c r="AI61" s="136">
        <v>2.05</v>
      </c>
      <c r="AJ61" s="136">
        <v>2.19</v>
      </c>
      <c r="AK61" s="136">
        <v>2.21</v>
      </c>
      <c r="AL61" s="136">
        <v>2.46</v>
      </c>
      <c r="AM61" s="136">
        <v>2.38</v>
      </c>
      <c r="AN61" s="136">
        <v>2.35</v>
      </c>
      <c r="AO61" s="187">
        <v>2.52</v>
      </c>
      <c r="AP61" s="187">
        <v>2.51</v>
      </c>
      <c r="AQ61" s="187">
        <v>2.45</v>
      </c>
      <c r="AR61" s="187">
        <v>2.41</v>
      </c>
      <c r="AS61" s="187">
        <v>2.45</v>
      </c>
      <c r="AT61" s="187">
        <v>2.51</v>
      </c>
      <c r="AU61" s="187">
        <v>2.5057</v>
      </c>
      <c r="AV61" s="187">
        <v>2.3979</v>
      </c>
      <c r="AW61" s="187">
        <v>2.407</v>
      </c>
      <c r="AX61" s="187">
        <v>2.4</v>
      </c>
      <c r="AY61" s="187">
        <f>0.8+1.6</f>
        <v>2.4000000000000004</v>
      </c>
      <c r="AZ61" s="187">
        <f>0.8+1.6</f>
        <v>2.4000000000000004</v>
      </c>
      <c r="BA61" s="187">
        <v>2.4</v>
      </c>
      <c r="BB61" s="187">
        <v>2.4</v>
      </c>
      <c r="BC61" s="187">
        <v>2.4</v>
      </c>
      <c r="BD61" s="187">
        <v>2.4</v>
      </c>
    </row>
    <row r="62" spans="1:22" ht="13.5">
      <c r="A62" s="35"/>
      <c r="B62" s="35"/>
      <c r="C62" s="35"/>
      <c r="D62" s="46"/>
      <c r="E62" s="46"/>
      <c r="F62" s="46"/>
      <c r="G62" s="46"/>
      <c r="H62" s="46"/>
      <c r="I62" s="46"/>
      <c r="J62" s="46"/>
      <c r="K62" s="49"/>
      <c r="L62" s="49"/>
      <c r="M62" s="49"/>
      <c r="N62" s="49"/>
      <c r="O62" s="49"/>
      <c r="P62" s="49"/>
      <c r="Q62" s="49"/>
      <c r="R62" s="49"/>
      <c r="S62" s="49"/>
      <c r="T62" s="49"/>
      <c r="U62" s="49"/>
      <c r="V62" s="49"/>
    </row>
    <row r="63" spans="1:56" ht="13.5">
      <c r="A63" s="35" t="s">
        <v>100</v>
      </c>
      <c r="B63" s="35"/>
      <c r="C63" s="35"/>
      <c r="D63" s="46"/>
      <c r="E63" s="46"/>
      <c r="F63" s="46"/>
      <c r="G63" s="46"/>
      <c r="H63" s="46"/>
      <c r="I63" s="46"/>
      <c r="J63" s="46"/>
      <c r="K63" s="49">
        <v>0</v>
      </c>
      <c r="L63" s="49">
        <v>0</v>
      </c>
      <c r="M63" s="49">
        <v>0</v>
      </c>
      <c r="N63" s="49">
        <v>0</v>
      </c>
      <c r="O63" s="49">
        <v>0</v>
      </c>
      <c r="P63" s="49">
        <v>0</v>
      </c>
      <c r="Q63" s="50">
        <v>1858</v>
      </c>
      <c r="R63" s="50">
        <v>4748</v>
      </c>
      <c r="S63" s="50">
        <v>4645</v>
      </c>
      <c r="T63" s="50">
        <v>4697</v>
      </c>
      <c r="U63" s="50">
        <v>4748</v>
      </c>
      <c r="V63" s="50">
        <v>4748</v>
      </c>
      <c r="W63" s="50">
        <v>4645</v>
      </c>
      <c r="X63" s="50">
        <v>4697</v>
      </c>
      <c r="Y63" s="50">
        <v>4748</v>
      </c>
      <c r="Z63" s="50">
        <v>4735</v>
      </c>
      <c r="AA63" s="50">
        <v>4684</v>
      </c>
      <c r="AB63" s="50">
        <v>4684</v>
      </c>
      <c r="AC63" s="50">
        <v>4735</v>
      </c>
      <c r="AD63" s="50">
        <v>4734</v>
      </c>
      <c r="AE63" s="50">
        <v>2325</v>
      </c>
      <c r="AF63" s="50">
        <v>196</v>
      </c>
      <c r="AG63" s="50">
        <v>169</v>
      </c>
      <c r="AH63" s="50">
        <v>15</v>
      </c>
      <c r="AI63" s="50">
        <v>3</v>
      </c>
      <c r="AJ63" s="50">
        <v>2</v>
      </c>
      <c r="AK63" s="50">
        <v>1</v>
      </c>
      <c r="AL63" s="50">
        <v>0</v>
      </c>
      <c r="AM63" s="50">
        <v>0</v>
      </c>
      <c r="AN63" s="50">
        <v>0</v>
      </c>
      <c r="AO63" s="188">
        <v>0</v>
      </c>
      <c r="AP63" s="188">
        <v>0</v>
      </c>
      <c r="AQ63" s="188">
        <v>0</v>
      </c>
      <c r="AR63" s="188">
        <v>0</v>
      </c>
      <c r="AS63" s="188">
        <v>0</v>
      </c>
      <c r="AT63" s="188">
        <v>0</v>
      </c>
      <c r="AU63" s="188">
        <v>0</v>
      </c>
      <c r="AV63" s="188">
        <v>0</v>
      </c>
      <c r="AW63" s="188">
        <v>0</v>
      </c>
      <c r="AX63" s="188">
        <v>0</v>
      </c>
      <c r="AY63" s="188">
        <v>0</v>
      </c>
      <c r="AZ63" s="188">
        <v>0</v>
      </c>
      <c r="BA63" s="188">
        <v>0</v>
      </c>
      <c r="BB63" s="188">
        <v>0</v>
      </c>
      <c r="BC63" s="188">
        <v>0</v>
      </c>
      <c r="BD63" s="188">
        <v>0</v>
      </c>
    </row>
    <row r="64" spans="1:56" ht="13.5">
      <c r="A64" s="35" t="s">
        <v>101</v>
      </c>
      <c r="B64" s="35"/>
      <c r="C64" s="35"/>
      <c r="D64" s="46"/>
      <c r="E64" s="46"/>
      <c r="F64" s="46"/>
      <c r="G64" s="46"/>
      <c r="H64" s="46"/>
      <c r="I64" s="46"/>
      <c r="J64" s="46"/>
      <c r="K64" s="40">
        <v>0</v>
      </c>
      <c r="L64" s="40">
        <v>0</v>
      </c>
      <c r="M64" s="40">
        <v>0</v>
      </c>
      <c r="N64" s="40">
        <v>0</v>
      </c>
      <c r="O64" s="40">
        <v>0</v>
      </c>
      <c r="P64" s="40">
        <v>0</v>
      </c>
      <c r="Q64" s="40">
        <v>0.23210493441599</v>
      </c>
      <c r="R64" s="40">
        <v>0.3909427748044463</v>
      </c>
      <c r="S64" s="40">
        <v>0.3206987020160177</v>
      </c>
      <c r="T64" s="40">
        <v>0.3781194654644985</v>
      </c>
      <c r="U64" s="40">
        <v>0.3331462250912153</v>
      </c>
      <c r="V64" s="40">
        <v>0.37551407782347357</v>
      </c>
      <c r="W64" s="40">
        <v>0.315514196440701</v>
      </c>
      <c r="X64" s="40">
        <f aca="true" t="shared" si="56" ref="X64:AC64">X63/X59</f>
        <v>0.3504439304633291</v>
      </c>
      <c r="Y64" s="40">
        <f t="shared" si="56"/>
        <v>0.32988258181060237</v>
      </c>
      <c r="Z64" s="40">
        <f t="shared" si="56"/>
        <v>0.33017223345652325</v>
      </c>
      <c r="AA64" s="40">
        <f t="shared" si="56"/>
        <v>0.2953714213646109</v>
      </c>
      <c r="AB64" s="40">
        <f t="shared" si="56"/>
        <v>0.2995459487113897</v>
      </c>
      <c r="AC64" s="40">
        <f t="shared" si="56"/>
        <v>0.2949604435308042</v>
      </c>
      <c r="AD64" s="40">
        <f aca="true" t="shared" si="57" ref="AD64:AI64">AD63/AD59</f>
        <v>0.3155368926214757</v>
      </c>
      <c r="AE64" s="40">
        <f t="shared" si="57"/>
        <v>0.1511703511053316</v>
      </c>
      <c r="AF64" s="40">
        <f t="shared" si="57"/>
        <v>0.013457841252403187</v>
      </c>
      <c r="AG64" s="40">
        <f t="shared" si="57"/>
        <v>0.012197762540599061</v>
      </c>
      <c r="AH64" s="40">
        <f t="shared" si="57"/>
        <v>0.0010934538562472663</v>
      </c>
      <c r="AI64" s="40">
        <f t="shared" si="57"/>
        <v>0.00021751740139211136</v>
      </c>
      <c r="AJ64" s="40">
        <f aca="true" t="shared" si="58" ref="AJ64:AP64">AJ63/AJ59</f>
        <v>0.00013528138528138528</v>
      </c>
      <c r="AK64" s="40">
        <f t="shared" si="58"/>
        <v>6.67244945619537E-05</v>
      </c>
      <c r="AL64" s="40">
        <f t="shared" si="58"/>
        <v>0</v>
      </c>
      <c r="AM64" s="40">
        <f t="shared" si="58"/>
        <v>0</v>
      </c>
      <c r="AN64" s="40">
        <f t="shared" si="58"/>
        <v>0</v>
      </c>
      <c r="AO64" s="189">
        <f t="shared" si="58"/>
        <v>0</v>
      </c>
      <c r="AP64" s="189">
        <f t="shared" si="58"/>
        <v>0</v>
      </c>
      <c r="AQ64" s="189">
        <f aca="true" t="shared" si="59" ref="AQ64:AV64">AQ63/AQ59</f>
        <v>0</v>
      </c>
      <c r="AR64" s="189">
        <f t="shared" si="59"/>
        <v>0</v>
      </c>
      <c r="AS64" s="189">
        <f t="shared" si="59"/>
        <v>0</v>
      </c>
      <c r="AT64" s="189">
        <f t="shared" si="59"/>
        <v>0</v>
      </c>
      <c r="AU64" s="189">
        <f t="shared" si="59"/>
        <v>0</v>
      </c>
      <c r="AV64" s="189">
        <f t="shared" si="59"/>
        <v>0</v>
      </c>
      <c r="AW64" s="189">
        <f aca="true" t="shared" si="60" ref="AW64:BB64">AW63/AW59</f>
        <v>0</v>
      </c>
      <c r="AX64" s="189">
        <f t="shared" si="60"/>
        <v>0</v>
      </c>
      <c r="AY64" s="189">
        <f t="shared" si="60"/>
        <v>0</v>
      </c>
      <c r="AZ64" s="189">
        <f t="shared" si="60"/>
        <v>0</v>
      </c>
      <c r="BA64" s="189">
        <f t="shared" si="60"/>
        <v>0</v>
      </c>
      <c r="BB64" s="189">
        <f t="shared" si="60"/>
        <v>0</v>
      </c>
      <c r="BC64" s="189">
        <f>BC63/BC59</f>
        <v>0</v>
      </c>
      <c r="BD64" s="189">
        <f>BD63/BD59</f>
        <v>0</v>
      </c>
    </row>
    <row r="65" spans="1:24" ht="13.5">
      <c r="A65" s="35"/>
      <c r="B65" s="35"/>
      <c r="C65" s="35"/>
      <c r="D65" s="46"/>
      <c r="E65" s="46"/>
      <c r="F65" s="46"/>
      <c r="G65" s="46"/>
      <c r="H65" s="46"/>
      <c r="I65" s="46"/>
      <c r="J65" s="46"/>
      <c r="K65" s="49"/>
      <c r="L65" s="49"/>
      <c r="M65" s="49"/>
      <c r="N65" s="49"/>
      <c r="O65" s="49"/>
      <c r="P65" s="49"/>
      <c r="Q65" s="49"/>
      <c r="R65" s="49"/>
      <c r="S65" s="49"/>
      <c r="T65" s="49"/>
      <c r="U65" s="49"/>
      <c r="V65" s="49"/>
      <c r="W65" s="49"/>
      <c r="X65" s="49"/>
    </row>
    <row r="66" spans="1:56" ht="13.5">
      <c r="A66" s="35" t="s">
        <v>11</v>
      </c>
      <c r="B66" s="35"/>
      <c r="C66" s="35"/>
      <c r="D66" s="50">
        <v>7570</v>
      </c>
      <c r="E66" s="50">
        <v>7565</v>
      </c>
      <c r="F66" s="50">
        <v>7552</v>
      </c>
      <c r="G66" s="50">
        <v>7950</v>
      </c>
      <c r="H66" s="50">
        <v>12900</v>
      </c>
      <c r="I66" s="50">
        <v>11109</v>
      </c>
      <c r="J66" s="50">
        <v>15567</v>
      </c>
      <c r="K66" s="50">
        <v>11323</v>
      </c>
      <c r="L66" s="50">
        <v>17173</v>
      </c>
      <c r="M66" s="50">
        <v>8075</v>
      </c>
      <c r="N66" s="50">
        <v>9269</v>
      </c>
      <c r="O66" s="50">
        <v>5417</v>
      </c>
      <c r="P66" s="50">
        <v>5570</v>
      </c>
      <c r="Q66" s="50">
        <v>6147</v>
      </c>
      <c r="R66" s="50">
        <v>7397</v>
      </c>
      <c r="S66" s="50">
        <v>9839</v>
      </c>
      <c r="T66" s="50">
        <v>7725</v>
      </c>
      <c r="U66" s="50">
        <v>9504</v>
      </c>
      <c r="V66" s="50">
        <v>7896</v>
      </c>
      <c r="W66" s="50">
        <v>10077</v>
      </c>
      <c r="X66" s="50">
        <v>8706</v>
      </c>
      <c r="Y66" s="50">
        <v>9645</v>
      </c>
      <c r="Z66" s="50">
        <v>9606</v>
      </c>
      <c r="AA66" s="50">
        <v>11174</v>
      </c>
      <c r="AB66" s="50">
        <v>10953</v>
      </c>
      <c r="AC66" s="50">
        <v>11318</v>
      </c>
      <c r="AD66" s="50">
        <v>10269</v>
      </c>
      <c r="AE66" s="50">
        <v>13055</v>
      </c>
      <c r="AF66" s="50">
        <v>14368</v>
      </c>
      <c r="AG66" s="50">
        <v>13686</v>
      </c>
      <c r="AH66" s="50">
        <v>13703</v>
      </c>
      <c r="AI66" s="50">
        <v>13789</v>
      </c>
      <c r="AJ66" s="50">
        <f aca="true" t="shared" si="61" ref="AJ66:AO66">AJ59-AJ63</f>
        <v>14782</v>
      </c>
      <c r="AK66" s="50">
        <f t="shared" si="61"/>
        <v>14986</v>
      </c>
      <c r="AL66" s="50">
        <f t="shared" si="61"/>
        <v>16712</v>
      </c>
      <c r="AM66" s="50">
        <f t="shared" si="61"/>
        <v>16189</v>
      </c>
      <c r="AN66" s="50">
        <f t="shared" si="61"/>
        <v>16082</v>
      </c>
      <c r="AO66" s="188">
        <f t="shared" si="61"/>
        <v>18822</v>
      </c>
      <c r="AP66" s="188">
        <f aca="true" t="shared" si="62" ref="AP66:AU66">AP59-AP63</f>
        <v>19702</v>
      </c>
      <c r="AQ66" s="188">
        <f t="shared" si="62"/>
        <v>19348</v>
      </c>
      <c r="AR66" s="188">
        <f t="shared" si="62"/>
        <v>19072</v>
      </c>
      <c r="AS66" s="188">
        <f t="shared" si="62"/>
        <v>19485</v>
      </c>
      <c r="AT66" s="188">
        <f t="shared" si="62"/>
        <v>19939</v>
      </c>
      <c r="AU66" s="188">
        <f t="shared" si="62"/>
        <v>20022</v>
      </c>
      <c r="AV66" s="188">
        <f aca="true" t="shared" si="63" ref="AV66:BA66">AV59-AV63</f>
        <v>19242</v>
      </c>
      <c r="AW66" s="188">
        <f t="shared" si="63"/>
        <v>19397</v>
      </c>
      <c r="AX66" s="188">
        <f t="shared" si="63"/>
        <v>19456</v>
      </c>
      <c r="AY66" s="188">
        <f t="shared" si="63"/>
        <v>20601</v>
      </c>
      <c r="AZ66" s="188">
        <f t="shared" si="63"/>
        <v>21248</v>
      </c>
      <c r="BA66" s="188">
        <f t="shared" si="63"/>
        <v>21421</v>
      </c>
      <c r="BB66" s="188">
        <f>BB59-BB63</f>
        <v>21550</v>
      </c>
      <c r="BC66" s="188">
        <f>BC59-BC63</f>
        <v>21669</v>
      </c>
      <c r="BD66" s="188">
        <f>BD59-BD63</f>
        <v>21779</v>
      </c>
    </row>
    <row r="67" spans="1:56" ht="13.5">
      <c r="A67" s="35" t="s">
        <v>99</v>
      </c>
      <c r="B67" s="35"/>
      <c r="C67" s="35"/>
      <c r="D67" s="40">
        <v>1</v>
      </c>
      <c r="E67" s="40">
        <v>1</v>
      </c>
      <c r="F67" s="40">
        <v>1</v>
      </c>
      <c r="G67" s="40">
        <v>1</v>
      </c>
      <c r="H67" s="40">
        <v>1</v>
      </c>
      <c r="I67" s="40">
        <v>1</v>
      </c>
      <c r="J67" s="40">
        <v>1</v>
      </c>
      <c r="K67" s="40">
        <v>1</v>
      </c>
      <c r="L67" s="40">
        <v>1</v>
      </c>
      <c r="M67" s="40">
        <v>1</v>
      </c>
      <c r="N67" s="40">
        <v>1</v>
      </c>
      <c r="O67" s="40">
        <v>1</v>
      </c>
      <c r="P67" s="40">
        <v>1</v>
      </c>
      <c r="Q67" s="40">
        <v>0.76789506558401</v>
      </c>
      <c r="R67" s="40">
        <v>0.6090572251955537</v>
      </c>
      <c r="S67" s="40">
        <v>0.6793012979839823</v>
      </c>
      <c r="T67" s="40">
        <v>0.6218805345355015</v>
      </c>
      <c r="U67" s="40">
        <v>0.6668537749087847</v>
      </c>
      <c r="V67" s="40">
        <v>0.6244859221765264</v>
      </c>
      <c r="W67" s="40">
        <v>0.684485803559299</v>
      </c>
      <c r="X67" s="40">
        <f aca="true" t="shared" si="64" ref="X67:AC67">X66/X59</f>
        <v>0.6495560695366709</v>
      </c>
      <c r="Y67" s="40">
        <f t="shared" si="64"/>
        <v>0.6701174181893976</v>
      </c>
      <c r="Z67" s="40">
        <f t="shared" si="64"/>
        <v>0.6698277665434768</v>
      </c>
      <c r="AA67" s="40">
        <f t="shared" si="64"/>
        <v>0.7046285786353891</v>
      </c>
      <c r="AB67" s="40">
        <f t="shared" si="64"/>
        <v>0.7004540512886104</v>
      </c>
      <c r="AC67" s="40">
        <f t="shared" si="64"/>
        <v>0.7050395564691958</v>
      </c>
      <c r="AD67" s="40">
        <f aca="true" t="shared" si="65" ref="AD67:AI67">AD66/AD59</f>
        <v>0.6844631073785243</v>
      </c>
      <c r="AE67" s="40">
        <f t="shared" si="65"/>
        <v>0.8488296488946684</v>
      </c>
      <c r="AF67" s="40">
        <f t="shared" si="65"/>
        <v>0.9865421587475968</v>
      </c>
      <c r="AG67" s="40">
        <f t="shared" si="65"/>
        <v>0.987802237459401</v>
      </c>
      <c r="AH67" s="40">
        <f t="shared" si="65"/>
        <v>0.9989065461437527</v>
      </c>
      <c r="AI67" s="40">
        <f t="shared" si="65"/>
        <v>0.9997824825986079</v>
      </c>
      <c r="AJ67" s="40">
        <f aca="true" t="shared" si="66" ref="AJ67:AP67">AJ66/AJ59</f>
        <v>0.9998647186147186</v>
      </c>
      <c r="AK67" s="40">
        <f t="shared" si="66"/>
        <v>0.9999332755054381</v>
      </c>
      <c r="AL67" s="40">
        <f t="shared" si="66"/>
        <v>1</v>
      </c>
      <c r="AM67" s="40">
        <f t="shared" si="66"/>
        <v>1</v>
      </c>
      <c r="AN67" s="40">
        <f t="shared" si="66"/>
        <v>1</v>
      </c>
      <c r="AO67" s="189">
        <f t="shared" si="66"/>
        <v>1</v>
      </c>
      <c r="AP67" s="189">
        <f t="shared" si="66"/>
        <v>1</v>
      </c>
      <c r="AQ67" s="189">
        <f aca="true" t="shared" si="67" ref="AQ67:AV67">AQ66/AQ59</f>
        <v>1</v>
      </c>
      <c r="AR67" s="189">
        <f t="shared" si="67"/>
        <v>1</v>
      </c>
      <c r="AS67" s="189">
        <f t="shared" si="67"/>
        <v>1</v>
      </c>
      <c r="AT67" s="189">
        <f t="shared" si="67"/>
        <v>1</v>
      </c>
      <c r="AU67" s="189">
        <f t="shared" si="67"/>
        <v>1</v>
      </c>
      <c r="AV67" s="189">
        <f t="shared" si="67"/>
        <v>1</v>
      </c>
      <c r="AW67" s="189">
        <f aca="true" t="shared" si="68" ref="AW67:BB67">AW66/AW59</f>
        <v>1</v>
      </c>
      <c r="AX67" s="189">
        <f t="shared" si="68"/>
        <v>1</v>
      </c>
      <c r="AY67" s="189">
        <f t="shared" si="68"/>
        <v>1</v>
      </c>
      <c r="AZ67" s="189">
        <f t="shared" si="68"/>
        <v>1</v>
      </c>
      <c r="BA67" s="189">
        <f t="shared" si="68"/>
        <v>1</v>
      </c>
      <c r="BB67" s="189">
        <f t="shared" si="68"/>
        <v>1</v>
      </c>
      <c r="BC67" s="189">
        <f>BC66/BC59</f>
        <v>1</v>
      </c>
      <c r="BD67" s="189">
        <f>BD66/BD59</f>
        <v>1</v>
      </c>
    </row>
    <row r="70" spans="1:11" ht="23.25" customHeight="1">
      <c r="A70" s="137">
        <v>1</v>
      </c>
      <c r="B70" s="258" t="s">
        <v>152</v>
      </c>
      <c r="C70" s="258"/>
      <c r="D70" s="258"/>
      <c r="E70" s="258"/>
      <c r="F70" s="258"/>
      <c r="G70" s="258"/>
      <c r="H70" s="258"/>
      <c r="I70" s="258"/>
      <c r="J70" s="258"/>
      <c r="K70" s="258"/>
    </row>
    <row r="71" spans="1:2" ht="12.75">
      <c r="A71" s="37">
        <v>2</v>
      </c>
      <c r="B71" s="36" t="s">
        <v>40</v>
      </c>
    </row>
    <row r="72" spans="1:2" ht="12.75">
      <c r="A72" s="37">
        <v>3</v>
      </c>
      <c r="B72" s="36" t="s">
        <v>19</v>
      </c>
    </row>
    <row r="73" spans="1:11" ht="37.5" customHeight="1">
      <c r="A73" s="137">
        <v>4</v>
      </c>
      <c r="B73" s="258" t="s">
        <v>135</v>
      </c>
      <c r="C73" s="258"/>
      <c r="D73" s="258"/>
      <c r="E73" s="258"/>
      <c r="F73" s="258"/>
      <c r="G73" s="258"/>
      <c r="H73" s="258"/>
      <c r="I73" s="258"/>
      <c r="J73" s="258"/>
      <c r="K73" s="258"/>
    </row>
    <row r="76" ht="12.75">
      <c r="A76" s="138"/>
    </row>
    <row r="77" spans="1:24" ht="13.5">
      <c r="A77" s="108"/>
      <c r="B77" s="35"/>
      <c r="C77" s="35"/>
      <c r="D77" s="46"/>
      <c r="E77" s="46"/>
      <c r="F77" s="46"/>
      <c r="G77" s="46"/>
      <c r="H77" s="46"/>
      <c r="I77" s="46"/>
      <c r="J77" s="46"/>
      <c r="K77" s="136"/>
      <c r="L77" s="136"/>
      <c r="M77" s="136"/>
      <c r="N77" s="136"/>
      <c r="O77" s="136"/>
      <c r="P77" s="136"/>
      <c r="Q77" s="136"/>
      <c r="R77" s="136"/>
      <c r="S77" s="136"/>
      <c r="T77" s="136"/>
      <c r="U77" s="136"/>
      <c r="V77" s="136"/>
      <c r="W77" s="136"/>
      <c r="X77" s="136"/>
    </row>
  </sheetData>
  <sheetProtection/>
  <mergeCells count="6">
    <mergeCell ref="A3:B3"/>
    <mergeCell ref="A5:B5"/>
    <mergeCell ref="A6:B6"/>
    <mergeCell ref="B73:K73"/>
    <mergeCell ref="B70:K70"/>
    <mergeCell ref="A33:C33"/>
  </mergeCells>
  <printOptions/>
  <pageMargins left="0.25" right="0.25" top="0.25" bottom="0.25" header="0.3" footer="0.3"/>
  <pageSetup fitToHeight="1" fitToWidth="1" horizontalDpi="600" verticalDpi="600" orientation="landscape" paperSize="9" scale="57"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jamesg</dc:creator>
  <cp:keywords/>
  <dc:description/>
  <cp:lastModifiedBy>Wang Mei Ling</cp:lastModifiedBy>
  <cp:lastPrinted>2018-07-18T08:02:04Z</cp:lastPrinted>
  <dcterms:created xsi:type="dcterms:W3CDTF">2008-03-03T09:48:57Z</dcterms:created>
  <dcterms:modified xsi:type="dcterms:W3CDTF">2019-07-22T10:40:22Z</dcterms:modified>
  <cp:category/>
  <cp:version/>
  <cp:contentType/>
  <cp:contentStatus/>
</cp:coreProperties>
</file>